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95" tabRatio="744" activeTab="3"/>
  </bookViews>
  <sheets>
    <sheet name="SL100" sheetId="1" r:id="rId1"/>
    <sheet name="Sten110" sheetId="2" r:id="rId2"/>
    <sheet name="Cyrano110" sheetId="3" r:id="rId3"/>
    <sheet name="Arba90" sheetId="4" r:id="rId4"/>
    <sheet name="Arba100" sheetId="5" r:id="rId5"/>
    <sheet name="Arba120" sheetId="6" r:id="rId6"/>
    <sheet name="Arba100 2xel." sheetId="7" r:id="rId7"/>
    <sheet name="SuperPeppe" sheetId="8" r:id="rId8"/>
  </sheets>
  <definedNames>
    <definedName name="_xlnm.Print_Area" localSheetId="4">'Arba100'!$B$1:$H$54</definedName>
    <definedName name="_xlnm.Print_Area" localSheetId="6">'Arba100 2xel.'!$B$1:$H$54</definedName>
    <definedName name="_xlnm.Print_Area" localSheetId="5">'Arba120'!$B$1:$H$54</definedName>
    <definedName name="_xlnm.Print_Area" localSheetId="3">'Arba90'!$B$1:$H$54</definedName>
    <definedName name="_xlnm.Print_Area" localSheetId="2">'Cyrano110'!$B$1:$H$53</definedName>
    <definedName name="_xlnm.Print_Area" localSheetId="0">'SL100'!$B$1:$H$53</definedName>
    <definedName name="_xlnm.Print_Area" localSheetId="1">'Sten110'!$B$1:$H$53</definedName>
    <definedName name="_xlnm.Print_Area" localSheetId="7">'SuperPeppe'!$B$1:$H$54</definedName>
    <definedName name="TABLE" localSheetId="4">'Arba100'!$K$1:$M$7</definedName>
    <definedName name="TABLE" localSheetId="6">'Arba100 2xel.'!$K$1:$M$7</definedName>
    <definedName name="TABLE" localSheetId="5">'Arba120'!#REF!</definedName>
    <definedName name="TABLE" localSheetId="3">#REF!</definedName>
    <definedName name="TABLE" localSheetId="2">'Cyrano110'!$K$7:$M$7</definedName>
    <definedName name="TABLE" localSheetId="0">'SL100'!$K$6:$M$6</definedName>
    <definedName name="TABLE" localSheetId="1">'Sten110'!$K$6:$M$7</definedName>
    <definedName name="TABLE" localSheetId="7">'SuperPeppe'!$K$1:$M$7</definedName>
    <definedName name="TABLE_2" localSheetId="4">'Arba100'!$K$1:$M$7</definedName>
    <definedName name="TABLE_2" localSheetId="6">'Arba100 2xel.'!$K$1:$M$7</definedName>
    <definedName name="TABLE_2" localSheetId="5">'Arba120'!#REF!</definedName>
    <definedName name="TABLE_2" localSheetId="3">'Arba90'!#REF!</definedName>
    <definedName name="TABLE_2" localSheetId="2">'Cyrano110'!$K$1:$M$7</definedName>
    <definedName name="TABLE_2" localSheetId="0">'SL100'!$K$1:$M$6</definedName>
    <definedName name="TABLE_2" localSheetId="1">'Sten110'!$K$1:$M$7</definedName>
    <definedName name="TABLE_2" localSheetId="7">'SuperPeppe'!$K$1:$M$7</definedName>
  </definedNames>
  <calcPr fullCalcOnLoad="1"/>
</workbook>
</file>

<file path=xl/sharedStrings.xml><?xml version="1.0" encoding="utf-8"?>
<sst xmlns="http://schemas.openxmlformats.org/spreadsheetml/2006/main" count="1133" uniqueCount="210">
  <si>
    <t xml:space="preserve">F = </t>
  </si>
  <si>
    <t>[kg]</t>
  </si>
  <si>
    <t>[cm]</t>
  </si>
  <si>
    <t>[mm]</t>
  </si>
  <si>
    <t>[gr]</t>
  </si>
  <si>
    <t>SL 100</t>
  </si>
  <si>
    <t xml:space="preserve">Lo = </t>
  </si>
  <si>
    <t>Lunghezza fuori tutto</t>
  </si>
  <si>
    <t>Lt =</t>
  </si>
  <si>
    <t>Lunghezza di carico</t>
  </si>
  <si>
    <t xml:space="preserve">L1 = </t>
  </si>
  <si>
    <t>Lunghezza serbatoio</t>
  </si>
  <si>
    <t xml:space="preserve">d1 = </t>
  </si>
  <si>
    <t xml:space="preserve">d2 = </t>
  </si>
  <si>
    <t xml:space="preserve">P1 = </t>
  </si>
  <si>
    <t>Pressione di precarica</t>
  </si>
  <si>
    <t>[kg/cm2]</t>
  </si>
  <si>
    <t xml:space="preserve">Ma7 = </t>
  </si>
  <si>
    <t>Massa asta 7 mm</t>
  </si>
  <si>
    <t xml:space="preserve">Ma8 = </t>
  </si>
  <si>
    <t>Massa asta 8 mm</t>
  </si>
  <si>
    <t xml:space="preserve">Mf = </t>
  </si>
  <si>
    <t>Massa fucile</t>
  </si>
  <si>
    <t>APACHE 90</t>
  </si>
  <si>
    <t xml:space="preserve">Le = </t>
  </si>
  <si>
    <t>Lunghezza elastici</t>
  </si>
  <si>
    <t xml:space="preserve">La = </t>
  </si>
  <si>
    <t>Lunghezza asta</t>
  </si>
  <si>
    <t xml:space="preserve">Lg = </t>
  </si>
  <si>
    <t>Lunghezza ogiva</t>
  </si>
  <si>
    <t xml:space="preserve">M16 = </t>
  </si>
  <si>
    <t>Massa elastici da 16</t>
  </si>
  <si>
    <t xml:space="preserve">M20 = </t>
  </si>
  <si>
    <t>Massa elastici da 20</t>
  </si>
  <si>
    <t xml:space="preserve">Ma = </t>
  </si>
  <si>
    <t>Massa asta</t>
  </si>
  <si>
    <t xml:space="preserve">Mg = </t>
  </si>
  <si>
    <t>Massa ogiva</t>
  </si>
  <si>
    <t>AERO 120</t>
  </si>
  <si>
    <t xml:space="preserve">Mp = </t>
  </si>
  <si>
    <t>Massa del pistone</t>
  </si>
  <si>
    <t>Diametro int. serbatoio</t>
  </si>
  <si>
    <t>Diametro int. canna</t>
  </si>
  <si>
    <t xml:space="preserve">d3 = </t>
  </si>
  <si>
    <t>Diametro ext. canna</t>
  </si>
  <si>
    <t xml:space="preserve">La7 = </t>
  </si>
  <si>
    <t>Lungh. Asta 7 mm</t>
  </si>
  <si>
    <t>NOTE</t>
  </si>
  <si>
    <t xml:space="preserve">La8 = </t>
  </si>
  <si>
    <t>Lungh. Asta 8 mm</t>
  </si>
  <si>
    <t xml:space="preserve">Mar = </t>
  </si>
  <si>
    <t xml:space="preserve">Massa arpione </t>
  </si>
  <si>
    <t xml:space="preserve">Lar = </t>
  </si>
  <si>
    <t>Lunghezza arpione</t>
  </si>
  <si>
    <t>Teflon</t>
  </si>
  <si>
    <t>Massa elastici da 18</t>
  </si>
  <si>
    <t>Dessault</t>
  </si>
  <si>
    <t>Cressi S45</t>
  </si>
  <si>
    <t>Picasso boccole 16</t>
  </si>
  <si>
    <t>Inox fi 6</t>
  </si>
  <si>
    <t>boccole plastica</t>
  </si>
  <si>
    <t xml:space="preserve">M18 = </t>
  </si>
  <si>
    <t>senza mulinello</t>
  </si>
  <si>
    <t>2° tacca</t>
  </si>
  <si>
    <t xml:space="preserve">Lg1 = </t>
  </si>
  <si>
    <t>Lunghezza ogiva 1</t>
  </si>
  <si>
    <t>Devoto boccole nylon</t>
  </si>
  <si>
    <t xml:space="preserve">Lg2 = </t>
  </si>
  <si>
    <t>Lunghezza ogiva 2</t>
  </si>
  <si>
    <t>Demka boccole alluminio</t>
  </si>
  <si>
    <t>Massa ogiva 1</t>
  </si>
  <si>
    <t>Massa ogiva 2</t>
  </si>
  <si>
    <t xml:space="preserve">Mm = </t>
  </si>
  <si>
    <t>Massa mulinello</t>
  </si>
  <si>
    <t>Cressi di serie+ frizione inox autocostr.</t>
  </si>
  <si>
    <t>Omer tutta inox "lunga" boccole 20</t>
  </si>
  <si>
    <t>Seatec tutta inox boccole 20</t>
  </si>
  <si>
    <t>Omer Energy boccole 20</t>
  </si>
  <si>
    <t>Cressi originali</t>
  </si>
  <si>
    <t>Tahitiana Devoto</t>
  </si>
  <si>
    <t>di serie</t>
  </si>
  <si>
    <t>Omer inox</t>
  </si>
  <si>
    <t>DATI</t>
  </si>
  <si>
    <t>CALCOLI</t>
  </si>
  <si>
    <t>SCEGLI LA CONFIGURAZIONE</t>
  </si>
  <si>
    <t>Lungh. Asta  (totale)</t>
  </si>
  <si>
    <t>RISULTATI</t>
  </si>
  <si>
    <t xml:space="preserve">Pf = </t>
  </si>
  <si>
    <t>pressione finale di carica</t>
  </si>
  <si>
    <t xml:space="preserve">v = </t>
  </si>
  <si>
    <t>Velocità dell'asta iniziale</t>
  </si>
  <si>
    <t>[m/sec]</t>
  </si>
  <si>
    <t>perdite di carico nel fucile</t>
  </si>
  <si>
    <t xml:space="preserve">Ep = </t>
  </si>
  <si>
    <t>Energia immagazzinata</t>
  </si>
  <si>
    <t xml:space="preserve">Lunghezza ogiva </t>
  </si>
  <si>
    <t xml:space="preserve">eta = </t>
  </si>
  <si>
    <t>rendimento degli elastici</t>
  </si>
  <si>
    <t>Forza di caricamento</t>
  </si>
  <si>
    <t xml:space="preserve">De = </t>
  </si>
  <si>
    <t>Diametro elastici</t>
  </si>
  <si>
    <t xml:space="preserve">Sp = </t>
  </si>
  <si>
    <t>Superficie del pistone</t>
  </si>
  <si>
    <t>[cm2]</t>
  </si>
  <si>
    <t>Forza di caricamento iniziale</t>
  </si>
  <si>
    <t xml:space="preserve">Ff = </t>
  </si>
  <si>
    <t xml:space="preserve">Fi = </t>
  </si>
  <si>
    <t>Forza di caricamento finale</t>
  </si>
  <si>
    <t>[J]</t>
  </si>
  <si>
    <t xml:space="preserve">Vi = </t>
  </si>
  <si>
    <t>Volume iniziale del serbatoio</t>
  </si>
  <si>
    <t>[cm3]</t>
  </si>
  <si>
    <t xml:space="preserve">Vf = </t>
  </si>
  <si>
    <t>Volume finale del serbatoio</t>
  </si>
  <si>
    <t xml:space="preserve">Vc = </t>
  </si>
  <si>
    <t>Volume interno della canna</t>
  </si>
  <si>
    <t xml:space="preserve">Ecp = </t>
  </si>
  <si>
    <t>Energia persa pistone</t>
  </si>
  <si>
    <t>Energia persa elastici + ogiva</t>
  </si>
  <si>
    <t>del totale</t>
  </si>
  <si>
    <t xml:space="preserve">Eu = </t>
  </si>
  <si>
    <t>Energia utile disponibile</t>
  </si>
  <si>
    <t xml:space="preserve">delta p = </t>
  </si>
  <si>
    <t>P =</t>
  </si>
  <si>
    <t>[kW]</t>
  </si>
  <si>
    <t>Potenza utile</t>
  </si>
  <si>
    <t>Lt</t>
  </si>
  <si>
    <t>Lo</t>
  </si>
  <si>
    <t>Le</t>
  </si>
  <si>
    <t>Cyrano 110</t>
  </si>
  <si>
    <t>Massa elastici</t>
  </si>
  <si>
    <t xml:space="preserve">pari al </t>
  </si>
  <si>
    <t>della complessiva</t>
  </si>
  <si>
    <t>Acciaio al carbonio fi 6</t>
  </si>
  <si>
    <t>Inox fi 6,5</t>
  </si>
  <si>
    <t>Acciaio al carbonio fi 6,5</t>
  </si>
  <si>
    <t xml:space="preserve">Massa asta   </t>
  </si>
  <si>
    <t>Massa asta 6,5 mm</t>
  </si>
  <si>
    <t>Lungh. Asta 6,5 mm</t>
  </si>
  <si>
    <t>Tahitiana Mares originale</t>
  </si>
  <si>
    <t>Filettata Mares originale</t>
  </si>
  <si>
    <t>Snodato fi 8 mm</t>
  </si>
  <si>
    <t>Ep = F*Lt/2</t>
  </si>
  <si>
    <t>Filettata Mares originale + arpione</t>
  </si>
  <si>
    <t>asta da 7</t>
  </si>
  <si>
    <t>coefficiente K</t>
  </si>
  <si>
    <t>coefficiente Cb</t>
  </si>
  <si>
    <t>Ep =</t>
  </si>
  <si>
    <t xml:space="preserve">Energia cinetica residua </t>
  </si>
  <si>
    <t>asta da 6,5</t>
  </si>
  <si>
    <t>asta da 6</t>
  </si>
  <si>
    <t xml:space="preserve">Gittata utile = </t>
  </si>
  <si>
    <t>CALCOLI BALISTICI</t>
  </si>
  <si>
    <t>Inserire distanza -----------&gt;</t>
  </si>
  <si>
    <t>[m]</t>
  </si>
  <si>
    <t xml:space="preserve">vr = </t>
  </si>
  <si>
    <t>Velocità residua dell'asta</t>
  </si>
  <si>
    <t>pari al</t>
  </si>
  <si>
    <t>della iniziale</t>
  </si>
  <si>
    <t xml:space="preserve">d = </t>
  </si>
  <si>
    <t>Diametro asta</t>
  </si>
  <si>
    <t xml:space="preserve">vrc = </t>
  </si>
  <si>
    <t>Velocità di rinculo</t>
  </si>
  <si>
    <t>Area del diagramma</t>
  </si>
  <si>
    <t>Dessault 16</t>
  </si>
  <si>
    <t>Pl=</t>
  </si>
  <si>
    <t>Penetrazione nel legno</t>
  </si>
  <si>
    <t>Pp =</t>
  </si>
  <si>
    <t xml:space="preserve">Penetr. nei tessuti del pesce </t>
  </si>
  <si>
    <t>Gu=</t>
  </si>
  <si>
    <t>Ecr=</t>
  </si>
  <si>
    <t xml:space="preserve">Me= </t>
  </si>
  <si>
    <t xml:space="preserve">Mo = </t>
  </si>
  <si>
    <t xml:space="preserve">Me20 = </t>
  </si>
  <si>
    <t xml:space="preserve">Me18 = </t>
  </si>
  <si>
    <t xml:space="preserve">Me16 = </t>
  </si>
  <si>
    <t xml:space="preserve">Mo1 = </t>
  </si>
  <si>
    <t xml:space="preserve">Mo2 = </t>
  </si>
  <si>
    <t xml:space="preserve">Me = </t>
  </si>
  <si>
    <t>media</t>
  </si>
  <si>
    <t>media fra prima e seconda tacca</t>
  </si>
  <si>
    <t>2 x Dessault da 16</t>
  </si>
  <si>
    <t>Massa ogive</t>
  </si>
  <si>
    <t>2 x Devoto boccole nylon</t>
  </si>
  <si>
    <t>l/sec</t>
  </si>
  <si>
    <t>l</t>
  </si>
  <si>
    <t>sec</t>
  </si>
  <si>
    <t>l/min</t>
  </si>
  <si>
    <t>diametro luci di scarico</t>
  </si>
  <si>
    <t>numero luci di scarico</t>
  </si>
  <si>
    <t>Per coppia</t>
  </si>
  <si>
    <t>Inox fi 9,6</t>
  </si>
  <si>
    <t>media fra prima e terza tacca</t>
  </si>
  <si>
    <t>Sten 110</t>
  </si>
  <si>
    <t>Fusto da</t>
  </si>
  <si>
    <t>ESEMPIO ARBALETE DOPPIO ELASTICO 100</t>
  </si>
  <si>
    <t>Tabella di prova carico-allungamento</t>
  </si>
  <si>
    <t>carico</t>
  </si>
  <si>
    <t xml:space="preserve">allungamento </t>
  </si>
  <si>
    <t>%</t>
  </si>
  <si>
    <t>Mean Green</t>
  </si>
  <si>
    <t>Omer</t>
  </si>
  <si>
    <t>Lo =</t>
  </si>
  <si>
    <t>tempo di uscita dal fucile</t>
  </si>
  <si>
    <t>diametro luci di scarico [mm]</t>
  </si>
  <si>
    <t>[l/sec]</t>
  </si>
  <si>
    <t>[l/min]</t>
  </si>
  <si>
    <t>[l]</t>
  </si>
  <si>
    <t>[sec]</t>
  </si>
  <si>
    <t>Variaz. di volume ---&gt;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</si>
</sst>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%"/>
    <numFmt numFmtId="171" formatCode="0.0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40"/>
      </patternFill>
    </fill>
    <fill>
      <patternFill patternType="gray0625">
        <bgColor indexed="49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9" fontId="0" fillId="0" borderId="3" xfId="17" applyBorder="1" applyAlignment="1">
      <alignment horizontal="left" vertical="center"/>
    </xf>
    <xf numFmtId="9" fontId="0" fillId="0" borderId="2" xfId="17" applyFont="1" applyBorder="1" applyAlignment="1">
      <alignment horizontal="left" vertical="center"/>
    </xf>
    <xf numFmtId="10" fontId="0" fillId="0" borderId="5" xfId="1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9" fontId="0" fillId="0" borderId="2" xfId="17" applyFont="1" applyBorder="1" applyAlignment="1">
      <alignment horizontal="left" vertical="center"/>
    </xf>
    <xf numFmtId="9" fontId="0" fillId="0" borderId="3" xfId="17" applyBorder="1" applyAlignment="1">
      <alignment horizontal="left" vertical="center"/>
    </xf>
    <xf numFmtId="10" fontId="0" fillId="0" borderId="4" xfId="17" applyNumberFormat="1" applyBorder="1" applyAlignment="1">
      <alignment horizontal="center" vertical="center"/>
    </xf>
    <xf numFmtId="9" fontId="0" fillId="0" borderId="0" xfId="17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0" fontId="0" fillId="0" borderId="2" xfId="17" applyNumberFormat="1" applyBorder="1" applyAlignment="1">
      <alignment horizontal="center"/>
    </xf>
    <xf numFmtId="10" fontId="0" fillId="0" borderId="0" xfId="17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170" fontId="0" fillId="0" borderId="0" xfId="17" applyNumberFormat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3" xfId="0" applyFont="1" applyBorder="1" applyAlignment="1">
      <alignment/>
    </xf>
    <xf numFmtId="9" fontId="0" fillId="0" borderId="0" xfId="17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0" fontId="0" fillId="0" borderId="0" xfId="17" applyNumberFormat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9" fontId="0" fillId="0" borderId="0" xfId="17" applyAlignment="1">
      <alignment horizontal="center"/>
    </xf>
    <xf numFmtId="170" fontId="1" fillId="0" borderId="0" xfId="17" applyNumberFormat="1" applyFont="1" applyAlignment="1">
      <alignment horizont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4" xfId="0" applyFont="1" applyBorder="1" applyAlignment="1">
      <alignment horizontal="center"/>
    </xf>
    <xf numFmtId="9" fontId="2" fillId="0" borderId="4" xfId="17" applyFont="1" applyBorder="1" applyAlignment="1">
      <alignment horizontal="center" vertical="center"/>
    </xf>
    <xf numFmtId="9" fontId="1" fillId="0" borderId="3" xfId="17" applyFont="1" applyBorder="1" applyAlignment="1">
      <alignment horizontal="center"/>
    </xf>
    <xf numFmtId="10" fontId="1" fillId="0" borderId="5" xfId="17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152400</xdr:rowOff>
    </xdr:from>
    <xdr:to>
      <xdr:col>1</xdr:col>
      <xdr:colOff>590550</xdr:colOff>
      <xdr:row>3</xdr:row>
      <xdr:rowOff>123825</xdr:rowOff>
    </xdr:to>
    <xdr:sp>
      <xdr:nvSpPr>
        <xdr:cNvPr id="1" name="AutoShape 10"/>
        <xdr:cNvSpPr>
          <a:spLocks/>
        </xdr:cNvSpPr>
      </xdr:nvSpPr>
      <xdr:spPr>
        <a:xfrm>
          <a:off x="533400" y="152400"/>
          <a:ext cx="209550" cy="51435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5</xdr:col>
      <xdr:colOff>28575</xdr:colOff>
      <xdr:row>1</xdr:row>
      <xdr:rowOff>85725</xdr:rowOff>
    </xdr:to>
    <xdr:sp>
      <xdr:nvSpPr>
        <xdr:cNvPr id="2" name="Line 11"/>
        <xdr:cNvSpPr>
          <a:spLocks/>
        </xdr:cNvSpPr>
      </xdr:nvSpPr>
      <xdr:spPr>
        <a:xfrm flipV="1">
          <a:off x="3114675" y="247650"/>
          <a:ext cx="638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76200</xdr:rowOff>
    </xdr:from>
    <xdr:to>
      <xdr:col>3</xdr:col>
      <xdr:colOff>685800</xdr:colOff>
      <xdr:row>2</xdr:row>
      <xdr:rowOff>76200</xdr:rowOff>
    </xdr:to>
    <xdr:sp>
      <xdr:nvSpPr>
        <xdr:cNvPr id="3" name="Line 12"/>
        <xdr:cNvSpPr>
          <a:spLocks/>
        </xdr:cNvSpPr>
      </xdr:nvSpPr>
      <xdr:spPr>
        <a:xfrm>
          <a:off x="771525" y="457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</xdr:row>
      <xdr:rowOff>95250</xdr:rowOff>
    </xdr:from>
    <xdr:to>
      <xdr:col>4</xdr:col>
      <xdr:colOff>581025</xdr:colOff>
      <xdr:row>4</xdr:row>
      <xdr:rowOff>95250</xdr:rowOff>
    </xdr:to>
    <xdr:sp>
      <xdr:nvSpPr>
        <xdr:cNvPr id="4" name="Line 13"/>
        <xdr:cNvSpPr>
          <a:spLocks/>
        </xdr:cNvSpPr>
      </xdr:nvSpPr>
      <xdr:spPr>
        <a:xfrm>
          <a:off x="514350" y="8001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152400</xdr:rowOff>
    </xdr:from>
    <xdr:to>
      <xdr:col>1</xdr:col>
      <xdr:colOff>590550</xdr:colOff>
      <xdr:row>3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533400" y="152400"/>
          <a:ext cx="209550" cy="51435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5</xdr:col>
      <xdr:colOff>28575</xdr:colOff>
      <xdr:row>1</xdr:row>
      <xdr:rowOff>85725</xdr:rowOff>
    </xdr:to>
    <xdr:sp>
      <xdr:nvSpPr>
        <xdr:cNvPr id="2" name="Line 7"/>
        <xdr:cNvSpPr>
          <a:spLocks/>
        </xdr:cNvSpPr>
      </xdr:nvSpPr>
      <xdr:spPr>
        <a:xfrm flipV="1">
          <a:off x="3114675" y="247650"/>
          <a:ext cx="638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76200</xdr:rowOff>
    </xdr:from>
    <xdr:to>
      <xdr:col>3</xdr:col>
      <xdr:colOff>685800</xdr:colOff>
      <xdr:row>2</xdr:row>
      <xdr:rowOff>76200</xdr:rowOff>
    </xdr:to>
    <xdr:sp>
      <xdr:nvSpPr>
        <xdr:cNvPr id="3" name="Line 8"/>
        <xdr:cNvSpPr>
          <a:spLocks/>
        </xdr:cNvSpPr>
      </xdr:nvSpPr>
      <xdr:spPr>
        <a:xfrm>
          <a:off x="771525" y="457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</xdr:row>
      <xdr:rowOff>95250</xdr:rowOff>
    </xdr:from>
    <xdr:to>
      <xdr:col>4</xdr:col>
      <xdr:colOff>581025</xdr:colOff>
      <xdr:row>4</xdr:row>
      <xdr:rowOff>95250</xdr:rowOff>
    </xdr:to>
    <xdr:sp>
      <xdr:nvSpPr>
        <xdr:cNvPr id="4" name="Line 9"/>
        <xdr:cNvSpPr>
          <a:spLocks/>
        </xdr:cNvSpPr>
      </xdr:nvSpPr>
      <xdr:spPr>
        <a:xfrm>
          <a:off x="514350" y="8001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52450" y="1190625"/>
          <a:ext cx="209550" cy="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152400</xdr:rowOff>
    </xdr:from>
    <xdr:to>
      <xdr:col>1</xdr:col>
      <xdr:colOff>590550</xdr:colOff>
      <xdr:row>3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533400" y="152400"/>
          <a:ext cx="209550" cy="51435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5</xdr:col>
      <xdr:colOff>28575</xdr:colOff>
      <xdr:row>1</xdr:row>
      <xdr:rowOff>85725</xdr:rowOff>
    </xdr:to>
    <xdr:sp>
      <xdr:nvSpPr>
        <xdr:cNvPr id="3" name="Line 7"/>
        <xdr:cNvSpPr>
          <a:spLocks/>
        </xdr:cNvSpPr>
      </xdr:nvSpPr>
      <xdr:spPr>
        <a:xfrm flipV="1">
          <a:off x="3114675" y="247650"/>
          <a:ext cx="638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76200</xdr:rowOff>
    </xdr:from>
    <xdr:to>
      <xdr:col>3</xdr:col>
      <xdr:colOff>685800</xdr:colOff>
      <xdr:row>2</xdr:row>
      <xdr:rowOff>76200</xdr:rowOff>
    </xdr:to>
    <xdr:sp>
      <xdr:nvSpPr>
        <xdr:cNvPr id="4" name="Line 8"/>
        <xdr:cNvSpPr>
          <a:spLocks/>
        </xdr:cNvSpPr>
      </xdr:nvSpPr>
      <xdr:spPr>
        <a:xfrm>
          <a:off x="771525" y="457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5</xdr:col>
      <xdr:colOff>19050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23925" y="219075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</xdr:row>
      <xdr:rowOff>47625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180975"/>
          <a:ext cx="352425" cy="523875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104775</xdr:rowOff>
    </xdr:from>
    <xdr:to>
      <xdr:col>3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4400" y="4857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76200</xdr:rowOff>
    </xdr:from>
    <xdr:to>
      <xdr:col>4</xdr:col>
      <xdr:colOff>590550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>
          <a:off x="561975" y="7810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19050</xdr:colOff>
      <xdr:row>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90800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1</xdr:col>
      <xdr:colOff>590550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3400" y="0"/>
          <a:ext cx="209550" cy="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5</xdr:col>
      <xdr:colOff>19050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23925" y="219075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</xdr:row>
      <xdr:rowOff>47625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180975"/>
          <a:ext cx="352425" cy="523875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104775</xdr:rowOff>
    </xdr:from>
    <xdr:to>
      <xdr:col>3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4400" y="4857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76200</xdr:rowOff>
    </xdr:from>
    <xdr:to>
      <xdr:col>4</xdr:col>
      <xdr:colOff>590550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>
          <a:off x="561975" y="7810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19050</xdr:colOff>
      <xdr:row>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90800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025" y="0"/>
          <a:ext cx="304800" cy="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5</xdr:col>
      <xdr:colOff>19050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23925" y="219075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</xdr:row>
      <xdr:rowOff>47625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180975"/>
          <a:ext cx="352425" cy="523875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104775</xdr:rowOff>
    </xdr:from>
    <xdr:to>
      <xdr:col>3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4400" y="4857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76200</xdr:rowOff>
    </xdr:from>
    <xdr:to>
      <xdr:col>4</xdr:col>
      <xdr:colOff>590550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>
          <a:off x="561975" y="7810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19050</xdr:colOff>
      <xdr:row>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90800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1</xdr:col>
      <xdr:colOff>590550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3400" y="0"/>
          <a:ext cx="209550" cy="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5</xdr:col>
      <xdr:colOff>19050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23925" y="219075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</xdr:row>
      <xdr:rowOff>47625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180975"/>
          <a:ext cx="352425" cy="523875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104775</xdr:rowOff>
    </xdr:from>
    <xdr:to>
      <xdr:col>3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4400" y="4857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76200</xdr:rowOff>
    </xdr:from>
    <xdr:to>
      <xdr:col>4</xdr:col>
      <xdr:colOff>590550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>
          <a:off x="561975" y="7810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19050</xdr:colOff>
      <xdr:row>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90800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025" y="0"/>
          <a:ext cx="304800" cy="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5</xdr:col>
      <xdr:colOff>19050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23925" y="219075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</xdr:row>
      <xdr:rowOff>47625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180975"/>
          <a:ext cx="352425" cy="523875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104775</xdr:rowOff>
    </xdr:from>
    <xdr:to>
      <xdr:col>3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4400" y="4857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76200</xdr:rowOff>
    </xdr:from>
    <xdr:to>
      <xdr:col>4</xdr:col>
      <xdr:colOff>590550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>
          <a:off x="561975" y="7810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19050</xdr:colOff>
      <xdr:row>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90800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025" y="0"/>
          <a:ext cx="304800" cy="0"/>
        </a:xfrm>
        <a:prstGeom prst="parallelogram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I55"/>
  <sheetViews>
    <sheetView workbookViewId="0" topLeftCell="A21">
      <selection activeCell="A34" sqref="A34"/>
    </sheetView>
  </sheetViews>
  <sheetFormatPr defaultColWidth="9.140625" defaultRowHeight="12.75"/>
  <cols>
    <col min="1" max="1" width="2.28125" style="0" customWidth="1"/>
    <col min="3" max="3" width="24.7109375" style="0" customWidth="1"/>
    <col min="4" max="4" width="10.57421875" style="0" bestFit="1" customWidth="1"/>
    <col min="8" max="8" width="17.00390625" style="0" customWidth="1"/>
    <col min="11" max="11" width="23.7109375" style="0" customWidth="1"/>
    <col min="12" max="12" width="18.8515625" style="0" customWidth="1"/>
    <col min="13" max="13" width="26.7109375" style="0" customWidth="1"/>
  </cols>
  <sheetData>
    <row r="2" spans="3:4" ht="17.25" customHeight="1">
      <c r="C2" s="23"/>
      <c r="D2" s="23"/>
    </row>
    <row r="4" ht="12.75">
      <c r="C4" s="1" t="s">
        <v>126</v>
      </c>
    </row>
    <row r="6" spans="3:5" ht="12.75">
      <c r="C6" s="102" t="s">
        <v>127</v>
      </c>
      <c r="D6" s="102"/>
      <c r="E6" s="102"/>
    </row>
    <row r="8" spans="2:8" ht="12.75">
      <c r="B8" s="99" t="s">
        <v>5</v>
      </c>
      <c r="C8" s="100"/>
      <c r="D8" s="100"/>
      <c r="E8" s="100"/>
      <c r="F8" s="100"/>
      <c r="G8" s="100"/>
      <c r="H8" s="101"/>
    </row>
    <row r="9" spans="2:8" ht="12.75">
      <c r="B9" s="99" t="s">
        <v>82</v>
      </c>
      <c r="C9" s="100"/>
      <c r="D9" s="100"/>
      <c r="E9" s="100"/>
      <c r="F9" s="99" t="s">
        <v>47</v>
      </c>
      <c r="G9" s="100"/>
      <c r="H9" s="101"/>
    </row>
    <row r="10" spans="2:8" s="6" customFormat="1" ht="15" customHeight="1">
      <c r="B10" s="65" t="s">
        <v>6</v>
      </c>
      <c r="C10" s="65" t="s">
        <v>7</v>
      </c>
      <c r="D10" s="50">
        <v>135</v>
      </c>
      <c r="E10" s="50" t="s">
        <v>2</v>
      </c>
      <c r="F10" s="96"/>
      <c r="G10" s="97"/>
      <c r="H10" s="98"/>
    </row>
    <row r="11" spans="2:8" s="6" customFormat="1" ht="15" customHeight="1">
      <c r="B11" s="65" t="s">
        <v>8</v>
      </c>
      <c r="C11" s="65" t="s">
        <v>9</v>
      </c>
      <c r="D11" s="48">
        <v>81</v>
      </c>
      <c r="E11" s="50" t="s">
        <v>2</v>
      </c>
      <c r="F11" s="96"/>
      <c r="G11" s="97"/>
      <c r="H11" s="98"/>
    </row>
    <row r="12" spans="2:8" s="6" customFormat="1" ht="15" customHeight="1">
      <c r="B12" s="65" t="s">
        <v>10</v>
      </c>
      <c r="C12" s="65" t="s">
        <v>11</v>
      </c>
      <c r="D12" s="48">
        <v>81</v>
      </c>
      <c r="E12" s="50" t="s">
        <v>2</v>
      </c>
      <c r="F12" s="96"/>
      <c r="G12" s="97"/>
      <c r="H12" s="98"/>
    </row>
    <row r="13" spans="2:8" s="6" customFormat="1" ht="15" customHeight="1">
      <c r="B13" s="65" t="s">
        <v>12</v>
      </c>
      <c r="C13" s="65" t="s">
        <v>41</v>
      </c>
      <c r="D13" s="48">
        <v>38</v>
      </c>
      <c r="E13" s="48" t="s">
        <v>3</v>
      </c>
      <c r="F13" s="96"/>
      <c r="G13" s="97"/>
      <c r="H13" s="98"/>
    </row>
    <row r="14" spans="2:8" s="6" customFormat="1" ht="15" customHeight="1">
      <c r="B14" s="65" t="s">
        <v>13</v>
      </c>
      <c r="C14" s="65" t="s">
        <v>42</v>
      </c>
      <c r="D14" s="48">
        <v>13</v>
      </c>
      <c r="E14" s="48" t="s">
        <v>3</v>
      </c>
      <c r="F14" s="96"/>
      <c r="G14" s="97"/>
      <c r="H14" s="98"/>
    </row>
    <row r="15" spans="2:8" s="6" customFormat="1" ht="15" customHeight="1">
      <c r="B15" s="65" t="s">
        <v>43</v>
      </c>
      <c r="C15" s="65" t="s">
        <v>44</v>
      </c>
      <c r="D15" s="48">
        <f>D14+5</f>
        <v>18</v>
      </c>
      <c r="E15" s="48" t="s">
        <v>3</v>
      </c>
      <c r="F15" s="96"/>
      <c r="G15" s="97"/>
      <c r="H15" s="98"/>
    </row>
    <row r="16" spans="2:8" s="6" customFormat="1" ht="15" customHeight="1">
      <c r="B16" s="65" t="s">
        <v>17</v>
      </c>
      <c r="C16" s="65" t="s">
        <v>18</v>
      </c>
      <c r="D16" s="48">
        <v>345</v>
      </c>
      <c r="E16" s="48" t="s">
        <v>4</v>
      </c>
      <c r="F16" s="96" t="s">
        <v>79</v>
      </c>
      <c r="G16" s="97"/>
      <c r="H16" s="98"/>
    </row>
    <row r="17" spans="2:8" s="6" customFormat="1" ht="15" customHeight="1">
      <c r="B17" s="65" t="s">
        <v>45</v>
      </c>
      <c r="C17" s="65" t="s">
        <v>46</v>
      </c>
      <c r="D17" s="48">
        <v>115</v>
      </c>
      <c r="E17" s="50" t="s">
        <v>2</v>
      </c>
      <c r="F17" s="96" t="s">
        <v>79</v>
      </c>
      <c r="G17" s="97"/>
      <c r="H17" s="98"/>
    </row>
    <row r="18" spans="2:8" s="6" customFormat="1" ht="15" customHeight="1">
      <c r="B18" s="65" t="s">
        <v>19</v>
      </c>
      <c r="C18" s="65" t="s">
        <v>20</v>
      </c>
      <c r="D18" s="48">
        <v>385</v>
      </c>
      <c r="E18" s="48" t="s">
        <v>4</v>
      </c>
      <c r="F18" s="96" t="s">
        <v>80</v>
      </c>
      <c r="G18" s="97"/>
      <c r="H18" s="98"/>
    </row>
    <row r="19" spans="2:8" s="6" customFormat="1" ht="15" customHeight="1">
      <c r="B19" s="65" t="s">
        <v>48</v>
      </c>
      <c r="C19" s="65" t="s">
        <v>49</v>
      </c>
      <c r="D19" s="48">
        <v>100</v>
      </c>
      <c r="E19" s="50" t="s">
        <v>2</v>
      </c>
      <c r="F19" s="96" t="s">
        <v>80</v>
      </c>
      <c r="G19" s="97"/>
      <c r="H19" s="98"/>
    </row>
    <row r="20" spans="2:8" s="6" customFormat="1" ht="15" customHeight="1">
      <c r="B20" s="65" t="s">
        <v>50</v>
      </c>
      <c r="C20" s="65" t="s">
        <v>51</v>
      </c>
      <c r="D20" s="48">
        <v>35</v>
      </c>
      <c r="E20" s="48" t="s">
        <v>4</v>
      </c>
      <c r="F20" s="96" t="s">
        <v>81</v>
      </c>
      <c r="G20" s="97"/>
      <c r="H20" s="98"/>
    </row>
    <row r="21" spans="2:8" s="6" customFormat="1" ht="15" customHeight="1">
      <c r="B21" s="65" t="s">
        <v>52</v>
      </c>
      <c r="C21" s="65" t="s">
        <v>53</v>
      </c>
      <c r="D21" s="48">
        <v>8</v>
      </c>
      <c r="E21" s="50" t="s">
        <v>2</v>
      </c>
      <c r="F21" s="96" t="s">
        <v>81</v>
      </c>
      <c r="G21" s="97"/>
      <c r="H21" s="98"/>
    </row>
    <row r="22" spans="2:8" s="6" customFormat="1" ht="15" customHeight="1">
      <c r="B22" s="65" t="s">
        <v>21</v>
      </c>
      <c r="C22" s="65" t="s">
        <v>22</v>
      </c>
      <c r="D22" s="48">
        <v>1050</v>
      </c>
      <c r="E22" s="48" t="s">
        <v>4</v>
      </c>
      <c r="F22" s="96" t="s">
        <v>62</v>
      </c>
      <c r="G22" s="97"/>
      <c r="H22" s="98"/>
    </row>
    <row r="23" spans="2:8" s="6" customFormat="1" ht="15" customHeight="1">
      <c r="B23" s="65" t="s">
        <v>39</v>
      </c>
      <c r="C23" s="65" t="s">
        <v>40</v>
      </c>
      <c r="D23" s="48">
        <v>20</v>
      </c>
      <c r="E23" s="48" t="s">
        <v>4</v>
      </c>
      <c r="F23" s="96" t="s">
        <v>54</v>
      </c>
      <c r="G23" s="97"/>
      <c r="H23" s="98"/>
    </row>
    <row r="24" spans="2:8" s="6" customFormat="1" ht="15" customHeight="1">
      <c r="B24" s="65" t="s">
        <v>101</v>
      </c>
      <c r="C24" s="65" t="s">
        <v>102</v>
      </c>
      <c r="D24" s="51">
        <f>PI()*(D27/10)^2/4</f>
        <v>1.3273228961416876</v>
      </c>
      <c r="E24" s="48" t="s">
        <v>103</v>
      </c>
      <c r="F24" s="96" t="s">
        <v>54</v>
      </c>
      <c r="G24" s="97"/>
      <c r="H24" s="98"/>
    </row>
    <row r="25" spans="2:8" ht="12.75">
      <c r="B25" s="87" t="s">
        <v>84</v>
      </c>
      <c r="C25" s="88"/>
      <c r="D25" s="88"/>
      <c r="E25" s="88"/>
      <c r="F25" s="87" t="s">
        <v>47</v>
      </c>
      <c r="G25" s="88"/>
      <c r="H25" s="89"/>
    </row>
    <row r="26" spans="2:8" s="6" customFormat="1" ht="15" customHeight="1">
      <c r="B26" s="65" t="s">
        <v>10</v>
      </c>
      <c r="C26" s="65" t="s">
        <v>11</v>
      </c>
      <c r="D26" s="48">
        <v>81</v>
      </c>
      <c r="E26" s="48" t="s">
        <v>2</v>
      </c>
      <c r="F26" s="96"/>
      <c r="G26" s="97"/>
      <c r="H26" s="98"/>
    </row>
    <row r="27" spans="2:8" s="6" customFormat="1" ht="15" customHeight="1">
      <c r="B27" s="65" t="s">
        <v>13</v>
      </c>
      <c r="C27" s="65" t="s">
        <v>42</v>
      </c>
      <c r="D27" s="48">
        <v>13</v>
      </c>
      <c r="E27" s="48" t="s">
        <v>3</v>
      </c>
      <c r="F27" s="96"/>
      <c r="G27" s="97"/>
      <c r="H27" s="98"/>
    </row>
    <row r="28" spans="2:8" s="6" customFormat="1" ht="15" customHeight="1">
      <c r="B28" s="65" t="s">
        <v>14</v>
      </c>
      <c r="C28" s="65" t="s">
        <v>15</v>
      </c>
      <c r="D28" s="48">
        <v>35</v>
      </c>
      <c r="E28" s="48" t="s">
        <v>16</v>
      </c>
      <c r="F28" s="96"/>
      <c r="G28" s="97"/>
      <c r="H28" s="98"/>
    </row>
    <row r="29" spans="2:8" s="6" customFormat="1" ht="15" customHeight="1">
      <c r="B29" s="8" t="s">
        <v>26</v>
      </c>
      <c r="C29" s="8" t="s">
        <v>85</v>
      </c>
      <c r="D29" s="38">
        <f>IF($D$30=7,D17,D19+D21)</f>
        <v>115</v>
      </c>
      <c r="E29" s="3" t="s">
        <v>2</v>
      </c>
      <c r="F29" s="93"/>
      <c r="G29" s="94"/>
      <c r="H29" s="95"/>
    </row>
    <row r="30" spans="2:8" s="6" customFormat="1" ht="15" customHeight="1">
      <c r="B30" s="65" t="s">
        <v>159</v>
      </c>
      <c r="C30" s="65" t="s">
        <v>160</v>
      </c>
      <c r="D30" s="48">
        <v>7</v>
      </c>
      <c r="E30" s="48" t="s">
        <v>3</v>
      </c>
      <c r="F30" s="67">
        <f>IF(D30=7,G54,G53)</f>
        <v>0.00019</v>
      </c>
      <c r="G30" s="61"/>
      <c r="H30" s="62"/>
    </row>
    <row r="31" spans="2:8" s="6" customFormat="1" ht="15" customHeight="1">
      <c r="B31" s="8" t="s">
        <v>34</v>
      </c>
      <c r="C31" s="8" t="s">
        <v>35</v>
      </c>
      <c r="D31" s="38">
        <f>IF($D$30=7,D16,(D18+D20))</f>
        <v>345</v>
      </c>
      <c r="E31" s="7" t="s">
        <v>4</v>
      </c>
      <c r="F31" s="93" t="s">
        <v>79</v>
      </c>
      <c r="G31" s="94"/>
      <c r="H31" s="95"/>
    </row>
    <row r="32" spans="2:8" s="6" customFormat="1" ht="15" customHeight="1">
      <c r="B32" s="65" t="s">
        <v>39</v>
      </c>
      <c r="C32" s="65" t="s">
        <v>40</v>
      </c>
      <c r="D32" s="48">
        <v>20</v>
      </c>
      <c r="E32" s="48" t="s">
        <v>4</v>
      </c>
      <c r="F32" s="96" t="s">
        <v>54</v>
      </c>
      <c r="G32" s="97"/>
      <c r="H32" s="98"/>
    </row>
    <row r="33" spans="2:8" s="6" customFormat="1" ht="15" customHeight="1">
      <c r="B33" s="12"/>
      <c r="C33" s="13"/>
      <c r="D33" s="14"/>
      <c r="E33" s="14"/>
      <c r="F33" s="18"/>
      <c r="G33" s="4"/>
      <c r="H33" s="5"/>
    </row>
    <row r="34" spans="2:8" ht="12.75">
      <c r="B34" s="87" t="s">
        <v>86</v>
      </c>
      <c r="C34" s="88"/>
      <c r="D34" s="88"/>
      <c r="E34" s="88"/>
      <c r="F34" s="87" t="s">
        <v>47</v>
      </c>
      <c r="G34" s="88"/>
      <c r="H34" s="89"/>
    </row>
    <row r="35" spans="2:8" ht="12.75">
      <c r="B35" s="8" t="s">
        <v>106</v>
      </c>
      <c r="C35" s="8" t="s">
        <v>104</v>
      </c>
      <c r="D35" s="17">
        <f>D28*D24</f>
        <v>46.45630136495907</v>
      </c>
      <c r="E35" s="7" t="s">
        <v>1</v>
      </c>
      <c r="F35" s="93"/>
      <c r="G35" s="94"/>
      <c r="H35" s="95"/>
    </row>
    <row r="36" spans="2:8" ht="12.75">
      <c r="B36" s="8" t="s">
        <v>105</v>
      </c>
      <c r="C36" s="8" t="s">
        <v>107</v>
      </c>
      <c r="D36" s="17">
        <f>D40*D24</f>
        <v>53.37147982102927</v>
      </c>
      <c r="E36" s="7" t="s">
        <v>1</v>
      </c>
      <c r="F36" s="93"/>
      <c r="G36" s="94"/>
      <c r="H36" s="95"/>
    </row>
    <row r="37" spans="2:8" ht="12.75">
      <c r="B37" s="8" t="s">
        <v>109</v>
      </c>
      <c r="C37" s="8" t="s">
        <v>110</v>
      </c>
      <c r="D37" s="17">
        <f>PI()*(D13/10)^2/4*(D26+4)-(PI()*((D15/10)^2-(D14/10)^2)/4)*(D26+4)</f>
        <v>860.5214977264142</v>
      </c>
      <c r="E37" s="7" t="s">
        <v>111</v>
      </c>
      <c r="F37" s="93"/>
      <c r="G37" s="94"/>
      <c r="H37" s="95"/>
    </row>
    <row r="38" spans="2:9" ht="12.75">
      <c r="B38" s="8" t="s">
        <v>112</v>
      </c>
      <c r="C38" s="8" t="s">
        <v>113</v>
      </c>
      <c r="D38" s="17">
        <f>D37-D39</f>
        <v>749.0263744505124</v>
      </c>
      <c r="E38" s="7" t="s">
        <v>111</v>
      </c>
      <c r="F38" s="18" t="s">
        <v>209</v>
      </c>
      <c r="G38" s="4"/>
      <c r="H38" s="85">
        <f>1-(D38/D37)</f>
        <v>0.12956692374389633</v>
      </c>
      <c r="I38" s="45"/>
    </row>
    <row r="39" spans="2:8" ht="12.75">
      <c r="B39" s="8" t="s">
        <v>114</v>
      </c>
      <c r="C39" s="8" t="s">
        <v>115</v>
      </c>
      <c r="D39" s="17">
        <f>(PI()*(D27/10)^2/4)*(D26+3)</f>
        <v>111.49512327590176</v>
      </c>
      <c r="E39" s="7" t="s">
        <v>111</v>
      </c>
      <c r="F39" s="93"/>
      <c r="G39" s="94"/>
      <c r="H39" s="95"/>
    </row>
    <row r="40" spans="2:8" ht="15" customHeight="1">
      <c r="B40" s="8" t="s">
        <v>87</v>
      </c>
      <c r="C40" s="8" t="s">
        <v>88</v>
      </c>
      <c r="D40" s="17">
        <f>D28*(D37^1/D38^1)</f>
        <v>40.20986903501138</v>
      </c>
      <c r="E40" s="7" t="s">
        <v>16</v>
      </c>
      <c r="F40" s="93"/>
      <c r="G40" s="94"/>
      <c r="H40" s="95"/>
    </row>
    <row r="41" spans="2:8" ht="15" customHeight="1">
      <c r="B41" s="8" t="s">
        <v>93</v>
      </c>
      <c r="C41" s="8" t="s">
        <v>94</v>
      </c>
      <c r="D41" s="17">
        <f>D28*(D37-D38)*9.81/100</f>
        <v>382.8185057678086</v>
      </c>
      <c r="E41" s="7" t="s">
        <v>108</v>
      </c>
      <c r="F41" s="93"/>
      <c r="G41" s="94"/>
      <c r="H41" s="95"/>
    </row>
    <row r="42" spans="2:8" ht="15" customHeight="1">
      <c r="B42" s="8" t="s">
        <v>116</v>
      </c>
      <c r="C42" s="8" t="s">
        <v>117</v>
      </c>
      <c r="D42" s="17">
        <f>0.5*(D32/1000)*D43^2</f>
        <v>20.976356480427867</v>
      </c>
      <c r="E42" s="7" t="s">
        <v>108</v>
      </c>
      <c r="F42" s="21">
        <f>D42/D41</f>
        <v>0.05479452054794521</v>
      </c>
      <c r="G42" s="20" t="s">
        <v>119</v>
      </c>
      <c r="H42" s="19"/>
    </row>
    <row r="43" spans="2:8" ht="15" customHeight="1">
      <c r="B43" s="8" t="s">
        <v>89</v>
      </c>
      <c r="C43" s="8" t="s">
        <v>90</v>
      </c>
      <c r="D43" s="55">
        <f>(D41*2/((D31+D32)/1000))^0.5</f>
        <v>45.79995248952543</v>
      </c>
      <c r="E43" s="7" t="s">
        <v>91</v>
      </c>
      <c r="F43" s="93"/>
      <c r="G43" s="94"/>
      <c r="H43" s="95"/>
    </row>
    <row r="44" spans="2:8" ht="15" customHeight="1">
      <c r="B44" s="8" t="s">
        <v>123</v>
      </c>
      <c r="C44" s="8" t="s">
        <v>125</v>
      </c>
      <c r="D44" s="17">
        <f>(D36*D43*9.81/1000)-(D42*D43*9.81/1000)</f>
        <v>14.555049028039155</v>
      </c>
      <c r="E44" s="7" t="s">
        <v>124</v>
      </c>
      <c r="F44" s="18"/>
      <c r="G44" s="4"/>
      <c r="H44" s="5"/>
    </row>
    <row r="45" spans="2:8" ht="15" customHeight="1">
      <c r="B45" s="8" t="s">
        <v>122</v>
      </c>
      <c r="C45" s="8" t="s">
        <v>92</v>
      </c>
      <c r="D45" s="17">
        <f>2.03*D43^2*0.81*D40/(29.27*293.16*11)</f>
        <v>1.4693445611697353</v>
      </c>
      <c r="E45" s="7" t="s">
        <v>16</v>
      </c>
      <c r="F45" s="90"/>
      <c r="G45" s="91"/>
      <c r="H45" s="92"/>
    </row>
    <row r="46" spans="2:8" ht="15" customHeight="1">
      <c r="B46" s="87" t="s">
        <v>152</v>
      </c>
      <c r="C46" s="88"/>
      <c r="D46" s="88"/>
      <c r="E46" s="88"/>
      <c r="F46" s="87" t="s">
        <v>47</v>
      </c>
      <c r="G46" s="88"/>
      <c r="H46" s="89"/>
    </row>
    <row r="47" spans="2:8" ht="15" customHeight="1">
      <c r="B47" s="8"/>
      <c r="C47" s="47" t="s">
        <v>153</v>
      </c>
      <c r="D47" s="51">
        <v>3</v>
      </c>
      <c r="E47" s="7" t="s">
        <v>154</v>
      </c>
      <c r="F47" s="90"/>
      <c r="G47" s="91"/>
      <c r="H47" s="92"/>
    </row>
    <row r="48" spans="2:8" ht="15" customHeight="1">
      <c r="B48" s="8" t="s">
        <v>155</v>
      </c>
      <c r="C48" s="8" t="s">
        <v>156</v>
      </c>
      <c r="D48" s="17">
        <f>(D49*2/(($D$31+$D$32)/1000))^0.5</f>
        <v>33.399012126360425</v>
      </c>
      <c r="E48" s="7" t="s">
        <v>91</v>
      </c>
      <c r="F48" s="90"/>
      <c r="G48" s="91"/>
      <c r="H48" s="92"/>
    </row>
    <row r="49" spans="2:8" ht="15" customHeight="1">
      <c r="B49" s="8"/>
      <c r="C49" s="8" t="s">
        <v>148</v>
      </c>
      <c r="D49" s="17">
        <f>D41*2.718^-(2*G55*D47/F30)</f>
        <v>203.57765701056067</v>
      </c>
      <c r="E49" s="7" t="s">
        <v>108</v>
      </c>
      <c r="F49" s="38" t="s">
        <v>157</v>
      </c>
      <c r="G49" s="34">
        <f>D49/D41</f>
        <v>0.5317863529148116</v>
      </c>
      <c r="H49" s="30" t="s">
        <v>158</v>
      </c>
    </row>
    <row r="50" spans="2:8" ht="15" customHeight="1">
      <c r="B50" s="8"/>
      <c r="C50" s="8" t="s">
        <v>151</v>
      </c>
      <c r="D50" s="17">
        <f>(D31*D43^2)/(0.0494*40000*D30^2)</f>
        <v>7.4742243511398145</v>
      </c>
      <c r="E50" s="7" t="s">
        <v>154</v>
      </c>
      <c r="F50" s="15"/>
      <c r="G50" s="4"/>
      <c r="H50" s="5"/>
    </row>
    <row r="51" spans="2:8" ht="15" customHeight="1">
      <c r="B51" s="8" t="s">
        <v>161</v>
      </c>
      <c r="C51" s="8" t="s">
        <v>162</v>
      </c>
      <c r="D51" s="17">
        <f>(D31+D32)*D43/(D22)</f>
        <v>15.920935865406458</v>
      </c>
      <c r="E51" s="7" t="s">
        <v>91</v>
      </c>
      <c r="F51" s="15"/>
      <c r="G51" s="4"/>
      <c r="H51" s="5"/>
    </row>
    <row r="52" spans="2:8" ht="15" customHeight="1">
      <c r="B52" s="8" t="s">
        <v>165</v>
      </c>
      <c r="C52" s="8" t="s">
        <v>166</v>
      </c>
      <c r="D52" s="17">
        <f>0.001*D31^1.8*(D48^1.3)/(D30*100)</f>
        <v>5.0562674645374095</v>
      </c>
      <c r="E52" s="7" t="s">
        <v>2</v>
      </c>
      <c r="F52" s="74" t="s">
        <v>146</v>
      </c>
      <c r="G52" s="75">
        <v>0.0002</v>
      </c>
      <c r="H52" s="76" t="s">
        <v>150</v>
      </c>
    </row>
    <row r="53" spans="2:8" ht="15" customHeight="1">
      <c r="B53" s="8" t="s">
        <v>167</v>
      </c>
      <c r="C53" s="8" t="s">
        <v>168</v>
      </c>
      <c r="D53" s="17">
        <f>0.07*D31^1.3/D30*((D48-10)/25)</f>
        <v>18.638988372717815</v>
      </c>
      <c r="E53" s="7" t="s">
        <v>2</v>
      </c>
      <c r="F53" s="42" t="s">
        <v>146</v>
      </c>
      <c r="G53" s="43">
        <v>0.00022</v>
      </c>
      <c r="H53" s="44" t="s">
        <v>149</v>
      </c>
    </row>
    <row r="54" spans="6:8" ht="13.5" customHeight="1">
      <c r="F54" s="37" t="s">
        <v>146</v>
      </c>
      <c r="G54" s="40">
        <v>0.00019</v>
      </c>
      <c r="H54" s="41" t="s">
        <v>144</v>
      </c>
    </row>
    <row r="55" spans="6:8" ht="12.75">
      <c r="F55" s="42" t="s">
        <v>145</v>
      </c>
      <c r="G55" s="43">
        <v>2E-05</v>
      </c>
      <c r="H55" s="44"/>
    </row>
  </sheetData>
  <mergeCells count="41">
    <mergeCell ref="F45:H45"/>
    <mergeCell ref="C6:E6"/>
    <mergeCell ref="B8:H8"/>
    <mergeCell ref="F32:H32"/>
    <mergeCell ref="F18:H18"/>
    <mergeCell ref="F22:H22"/>
    <mergeCell ref="F23:H23"/>
    <mergeCell ref="F16:H16"/>
    <mergeCell ref="F10:H10"/>
    <mergeCell ref="F39:H39"/>
    <mergeCell ref="F40:H40"/>
    <mergeCell ref="F41:H41"/>
    <mergeCell ref="F43:H43"/>
    <mergeCell ref="B9:E9"/>
    <mergeCell ref="F14:H14"/>
    <mergeCell ref="F15:H15"/>
    <mergeCell ref="F9:H9"/>
    <mergeCell ref="F11:H11"/>
    <mergeCell ref="B25:E25"/>
    <mergeCell ref="F12:H12"/>
    <mergeCell ref="F13:H13"/>
    <mergeCell ref="F25:H25"/>
    <mergeCell ref="F17:H17"/>
    <mergeCell ref="F24:H24"/>
    <mergeCell ref="B34:E34"/>
    <mergeCell ref="F34:H34"/>
    <mergeCell ref="F35:H35"/>
    <mergeCell ref="F26:H26"/>
    <mergeCell ref="F27:H27"/>
    <mergeCell ref="F29:H29"/>
    <mergeCell ref="F31:H31"/>
    <mergeCell ref="F28:H28"/>
    <mergeCell ref="F37:H37"/>
    <mergeCell ref="F19:H19"/>
    <mergeCell ref="F21:H21"/>
    <mergeCell ref="F20:H20"/>
    <mergeCell ref="F36:H36"/>
    <mergeCell ref="B46:E46"/>
    <mergeCell ref="F46:H46"/>
    <mergeCell ref="F47:H47"/>
    <mergeCell ref="F48:H48"/>
  </mergeCells>
  <printOptions/>
  <pageMargins left="0.49" right="0.75" top="0.56" bottom="1" header="0.5" footer="0.5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2">
    <pageSetUpPr fitToPage="1"/>
  </sheetPr>
  <dimension ref="B2:M58"/>
  <sheetViews>
    <sheetView workbookViewId="0" topLeftCell="A29">
      <selection activeCell="F38" sqref="F38:H38"/>
    </sheetView>
  </sheetViews>
  <sheetFormatPr defaultColWidth="9.140625" defaultRowHeight="12.75"/>
  <cols>
    <col min="1" max="1" width="2.28125" style="0" customWidth="1"/>
    <col min="3" max="3" width="24.7109375" style="0" customWidth="1"/>
    <col min="4" max="4" width="10.57421875" style="0" bestFit="1" customWidth="1"/>
    <col min="6" max="6" width="10.00390625" style="0" bestFit="1" customWidth="1"/>
    <col min="8" max="8" width="17.00390625" style="0" customWidth="1"/>
    <col min="9" max="9" width="10.57421875" style="0" bestFit="1" customWidth="1"/>
    <col min="11" max="11" width="10.421875" style="0" customWidth="1"/>
    <col min="12" max="12" width="18.8515625" style="0" customWidth="1"/>
    <col min="13" max="13" width="26.7109375" style="0" customWidth="1"/>
  </cols>
  <sheetData>
    <row r="2" spans="3:4" ht="17.25" customHeight="1">
      <c r="C2" s="23"/>
      <c r="D2" s="23"/>
    </row>
    <row r="4" ht="12.75">
      <c r="C4" s="1" t="s">
        <v>126</v>
      </c>
    </row>
    <row r="6" spans="3:5" ht="12.75">
      <c r="C6" s="102" t="s">
        <v>127</v>
      </c>
      <c r="D6" s="102"/>
      <c r="E6" s="102"/>
    </row>
    <row r="7" ht="12.75" customHeight="1"/>
    <row r="8" spans="2:8" ht="12.75">
      <c r="B8" s="99" t="s">
        <v>193</v>
      </c>
      <c r="C8" s="100"/>
      <c r="D8" s="100"/>
      <c r="E8" s="100"/>
      <c r="F8" s="100"/>
      <c r="G8" s="100"/>
      <c r="H8" s="101"/>
    </row>
    <row r="9" spans="2:8" ht="12.75">
      <c r="B9" s="99" t="s">
        <v>82</v>
      </c>
      <c r="C9" s="100"/>
      <c r="D9" s="100"/>
      <c r="E9" s="100"/>
      <c r="F9" s="99" t="s">
        <v>47</v>
      </c>
      <c r="G9" s="100"/>
      <c r="H9" s="101"/>
    </row>
    <row r="10" spans="2:13" s="6" customFormat="1" ht="15" customHeight="1">
      <c r="B10" s="65" t="s">
        <v>6</v>
      </c>
      <c r="C10" s="65" t="s">
        <v>7</v>
      </c>
      <c r="D10" s="50">
        <v>145</v>
      </c>
      <c r="E10" s="50" t="s">
        <v>2</v>
      </c>
      <c r="F10" s="96"/>
      <c r="G10" s="97"/>
      <c r="H10" s="98"/>
      <c r="K10"/>
      <c r="L10"/>
      <c r="M10"/>
    </row>
    <row r="11" spans="2:8" s="6" customFormat="1" ht="15" customHeight="1">
      <c r="B11" s="65" t="s">
        <v>8</v>
      </c>
      <c r="C11" s="65" t="s">
        <v>9</v>
      </c>
      <c r="D11" s="48">
        <v>92</v>
      </c>
      <c r="E11" s="50" t="s">
        <v>2</v>
      </c>
      <c r="F11" s="96"/>
      <c r="G11" s="97"/>
      <c r="H11" s="98"/>
    </row>
    <row r="12" spans="2:8" s="6" customFormat="1" ht="15" customHeight="1">
      <c r="B12" s="65" t="s">
        <v>10</v>
      </c>
      <c r="C12" s="65" t="s">
        <v>11</v>
      </c>
      <c r="D12" s="48">
        <v>77</v>
      </c>
      <c r="E12" s="50" t="s">
        <v>2</v>
      </c>
      <c r="F12" s="96"/>
      <c r="G12" s="97"/>
      <c r="H12" s="98"/>
    </row>
    <row r="13" spans="2:8" s="6" customFormat="1" ht="15" customHeight="1">
      <c r="B13" s="65" t="s">
        <v>12</v>
      </c>
      <c r="C13" s="65" t="s">
        <v>41</v>
      </c>
      <c r="D13" s="48">
        <f>SL100!D13</f>
        <v>38</v>
      </c>
      <c r="E13" s="48" t="s">
        <v>3</v>
      </c>
      <c r="F13" s="96"/>
      <c r="G13" s="97"/>
      <c r="H13" s="98"/>
    </row>
    <row r="14" spans="2:8" s="6" customFormat="1" ht="15" customHeight="1">
      <c r="B14" s="65" t="s">
        <v>13</v>
      </c>
      <c r="C14" s="65" t="s">
        <v>42</v>
      </c>
      <c r="D14" s="48">
        <v>13</v>
      </c>
      <c r="E14" s="48" t="s">
        <v>3</v>
      </c>
      <c r="F14" s="96"/>
      <c r="G14" s="97"/>
      <c r="H14" s="98"/>
    </row>
    <row r="15" spans="2:8" s="6" customFormat="1" ht="15" customHeight="1">
      <c r="B15" s="65" t="s">
        <v>43</v>
      </c>
      <c r="C15" s="65" t="s">
        <v>44</v>
      </c>
      <c r="D15" s="48">
        <f>D14+5</f>
        <v>18</v>
      </c>
      <c r="E15" s="48" t="s">
        <v>3</v>
      </c>
      <c r="F15" s="96"/>
      <c r="G15" s="97"/>
      <c r="H15" s="98"/>
    </row>
    <row r="16" spans="2:8" s="6" customFormat="1" ht="15" customHeight="1">
      <c r="B16" s="65" t="s">
        <v>17</v>
      </c>
      <c r="C16" s="65" t="s">
        <v>137</v>
      </c>
      <c r="D16" s="48">
        <v>340</v>
      </c>
      <c r="E16" s="48" t="s">
        <v>4</v>
      </c>
      <c r="F16" s="96" t="s">
        <v>139</v>
      </c>
      <c r="G16" s="97"/>
      <c r="H16" s="98"/>
    </row>
    <row r="17" spans="2:8" s="6" customFormat="1" ht="15" customHeight="1">
      <c r="B17" s="65" t="s">
        <v>45</v>
      </c>
      <c r="C17" s="65" t="s">
        <v>138</v>
      </c>
      <c r="D17" s="48">
        <v>130</v>
      </c>
      <c r="E17" s="50" t="s">
        <v>2</v>
      </c>
      <c r="F17" s="96" t="s">
        <v>139</v>
      </c>
      <c r="G17" s="97"/>
      <c r="H17" s="98"/>
    </row>
    <row r="18" spans="2:8" s="6" customFormat="1" ht="15" customHeight="1">
      <c r="B18" s="65" t="s">
        <v>19</v>
      </c>
      <c r="C18" s="65" t="s">
        <v>18</v>
      </c>
      <c r="D18" s="48">
        <v>330</v>
      </c>
      <c r="E18" s="48" t="s">
        <v>4</v>
      </c>
      <c r="F18" s="96" t="s">
        <v>140</v>
      </c>
      <c r="G18" s="97"/>
      <c r="H18" s="98"/>
    </row>
    <row r="19" spans="2:8" s="6" customFormat="1" ht="15" customHeight="1">
      <c r="B19" s="65" t="s">
        <v>48</v>
      </c>
      <c r="C19" s="65" t="s">
        <v>46</v>
      </c>
      <c r="D19" s="48">
        <v>110</v>
      </c>
      <c r="E19" s="50" t="s">
        <v>2</v>
      </c>
      <c r="F19" s="96" t="s">
        <v>140</v>
      </c>
      <c r="G19" s="97"/>
      <c r="H19" s="98"/>
    </row>
    <row r="20" spans="2:8" s="6" customFormat="1" ht="15" customHeight="1">
      <c r="B20" s="65" t="s">
        <v>50</v>
      </c>
      <c r="C20" s="65" t="s">
        <v>51</v>
      </c>
      <c r="D20" s="48">
        <v>35</v>
      </c>
      <c r="E20" s="48" t="s">
        <v>4</v>
      </c>
      <c r="F20" s="96" t="s">
        <v>141</v>
      </c>
      <c r="G20" s="97"/>
      <c r="H20" s="98"/>
    </row>
    <row r="21" spans="2:8" s="6" customFormat="1" ht="15" customHeight="1">
      <c r="B21" s="65" t="s">
        <v>52</v>
      </c>
      <c r="C21" s="65" t="s">
        <v>53</v>
      </c>
      <c r="D21" s="48">
        <v>12</v>
      </c>
      <c r="E21" s="50" t="s">
        <v>2</v>
      </c>
      <c r="F21" s="96" t="s">
        <v>141</v>
      </c>
      <c r="G21" s="97"/>
      <c r="H21" s="98"/>
    </row>
    <row r="22" spans="2:8" s="6" customFormat="1" ht="15" customHeight="1">
      <c r="B22" s="65" t="s">
        <v>21</v>
      </c>
      <c r="C22" s="65" t="s">
        <v>22</v>
      </c>
      <c r="D22" s="48">
        <v>1100</v>
      </c>
      <c r="E22" s="48" t="s">
        <v>4</v>
      </c>
      <c r="F22" s="96"/>
      <c r="G22" s="97"/>
      <c r="H22" s="98"/>
    </row>
    <row r="23" spans="2:8" s="6" customFormat="1" ht="15" customHeight="1">
      <c r="B23" s="65" t="s">
        <v>39</v>
      </c>
      <c r="C23" s="65" t="s">
        <v>40</v>
      </c>
      <c r="D23" s="48">
        <v>20</v>
      </c>
      <c r="E23" s="48" t="s">
        <v>4</v>
      </c>
      <c r="F23" s="96"/>
      <c r="G23" s="97"/>
      <c r="H23" s="98"/>
    </row>
    <row r="24" spans="2:10" s="6" customFormat="1" ht="15" customHeight="1">
      <c r="B24" s="65" t="s">
        <v>101</v>
      </c>
      <c r="C24" s="65" t="s">
        <v>102</v>
      </c>
      <c r="D24" s="51">
        <f>PI()*(D27/10)^2/4</f>
        <v>1.3273228961416876</v>
      </c>
      <c r="E24" s="48" t="s">
        <v>103</v>
      </c>
      <c r="F24" s="96"/>
      <c r="G24" s="97"/>
      <c r="H24" s="98"/>
      <c r="I24" s="56">
        <f>(D24)/10000*D43*1000</f>
        <v>6.2947696259311785</v>
      </c>
      <c r="J24" s="6" t="s">
        <v>184</v>
      </c>
    </row>
    <row r="25" spans="2:10" ht="12.75">
      <c r="B25" s="87" t="s">
        <v>84</v>
      </c>
      <c r="C25" s="88"/>
      <c r="D25" s="88"/>
      <c r="E25" s="88"/>
      <c r="F25" s="87"/>
      <c r="G25" s="88"/>
      <c r="H25" s="89"/>
      <c r="I25" s="60">
        <f>I24*60</f>
        <v>377.6861775558707</v>
      </c>
      <c r="J25" t="s">
        <v>187</v>
      </c>
    </row>
    <row r="26" spans="2:10" s="6" customFormat="1" ht="15" customHeight="1">
      <c r="B26" s="65" t="s">
        <v>8</v>
      </c>
      <c r="C26" s="65" t="s">
        <v>9</v>
      </c>
      <c r="D26" s="48">
        <f>D11</f>
        <v>92</v>
      </c>
      <c r="E26" s="48" t="s">
        <v>2</v>
      </c>
      <c r="F26" s="96"/>
      <c r="G26" s="97"/>
      <c r="H26" s="98"/>
      <c r="I26" s="58">
        <f>D39/1000</f>
        <v>0.12609567513346034</v>
      </c>
      <c r="J26" s="6" t="s">
        <v>185</v>
      </c>
    </row>
    <row r="27" spans="2:8" s="6" customFormat="1" ht="15" customHeight="1">
      <c r="B27" s="65" t="s">
        <v>13</v>
      </c>
      <c r="C27" s="65" t="s">
        <v>42</v>
      </c>
      <c r="D27" s="48">
        <v>13</v>
      </c>
      <c r="E27" s="48" t="s">
        <v>3</v>
      </c>
      <c r="F27" s="96"/>
      <c r="G27" s="97"/>
      <c r="H27" s="98"/>
    </row>
    <row r="28" spans="2:10" s="6" customFormat="1" ht="15" customHeight="1">
      <c r="B28" s="65" t="s">
        <v>14</v>
      </c>
      <c r="C28" s="65" t="s">
        <v>15</v>
      </c>
      <c r="D28" s="48">
        <v>35</v>
      </c>
      <c r="E28" s="48" t="s">
        <v>16</v>
      </c>
      <c r="F28" s="96"/>
      <c r="G28" s="97"/>
      <c r="H28" s="98"/>
      <c r="I28" s="59">
        <f>I26/I24</f>
        <v>0.02003181730654792</v>
      </c>
      <c r="J28" s="6" t="s">
        <v>186</v>
      </c>
    </row>
    <row r="29" spans="2:8" s="6" customFormat="1" ht="15" customHeight="1">
      <c r="B29" s="8" t="s">
        <v>26</v>
      </c>
      <c r="C29" s="8" t="s">
        <v>85</v>
      </c>
      <c r="D29" s="38">
        <f>IF($D$30=7,(D19+D21),D17)</f>
        <v>122</v>
      </c>
      <c r="E29" s="3" t="s">
        <v>2</v>
      </c>
      <c r="F29" s="93"/>
      <c r="G29" s="94"/>
      <c r="H29" s="95"/>
    </row>
    <row r="30" spans="2:11" s="6" customFormat="1" ht="15" customHeight="1">
      <c r="B30" s="65" t="s">
        <v>159</v>
      </c>
      <c r="C30" s="65" t="s">
        <v>160</v>
      </c>
      <c r="D30" s="48">
        <v>7</v>
      </c>
      <c r="E30" s="48" t="s">
        <v>3</v>
      </c>
      <c r="F30" s="67">
        <f>IF(D30=7,G54,G53)</f>
        <v>0.00019</v>
      </c>
      <c r="G30" s="61"/>
      <c r="H30" s="62"/>
      <c r="I30" s="33">
        <f>3.14*J30^2/4</f>
        <v>19.625</v>
      </c>
      <c r="J30" s="6">
        <v>5</v>
      </c>
      <c r="K30" s="6" t="s">
        <v>188</v>
      </c>
    </row>
    <row r="31" spans="2:11" s="6" customFormat="1" ht="15" customHeight="1">
      <c r="B31" s="8" t="s">
        <v>34</v>
      </c>
      <c r="C31" s="8" t="s">
        <v>35</v>
      </c>
      <c r="D31" s="38">
        <f>IF($D$30=7,(D18+D20),D16)</f>
        <v>365</v>
      </c>
      <c r="E31" s="7" t="s">
        <v>4</v>
      </c>
      <c r="F31" s="93" t="s">
        <v>143</v>
      </c>
      <c r="G31" s="94"/>
      <c r="H31" s="95"/>
      <c r="I31" s="57">
        <f>I30*J31/100</f>
        <v>0.785</v>
      </c>
      <c r="J31" s="6">
        <v>4</v>
      </c>
      <c r="K31" s="6" t="s">
        <v>189</v>
      </c>
    </row>
    <row r="32" spans="2:8" s="6" customFormat="1" ht="15" customHeight="1">
      <c r="B32" s="65" t="s">
        <v>39</v>
      </c>
      <c r="C32" s="65" t="s">
        <v>40</v>
      </c>
      <c r="D32" s="48">
        <v>20</v>
      </c>
      <c r="E32" s="48" t="s">
        <v>4</v>
      </c>
      <c r="F32" s="96" t="s">
        <v>54</v>
      </c>
      <c r="G32" s="97"/>
      <c r="H32" s="98"/>
    </row>
    <row r="33" spans="2:8" s="6" customFormat="1" ht="15" customHeight="1">
      <c r="B33" s="12"/>
      <c r="C33" s="13"/>
      <c r="D33" s="14"/>
      <c r="E33" s="14"/>
      <c r="F33" s="18"/>
      <c r="G33" s="4"/>
      <c r="H33" s="5"/>
    </row>
    <row r="34" spans="2:8" ht="12.75">
      <c r="B34" s="87" t="s">
        <v>86</v>
      </c>
      <c r="C34" s="88"/>
      <c r="D34" s="88"/>
      <c r="E34" s="88"/>
      <c r="F34" s="87" t="s">
        <v>47</v>
      </c>
      <c r="G34" s="88"/>
      <c r="H34" s="89"/>
    </row>
    <row r="35" spans="2:8" ht="12.75">
      <c r="B35" s="8" t="s">
        <v>106</v>
      </c>
      <c r="C35" s="8" t="s">
        <v>104</v>
      </c>
      <c r="D35" s="17">
        <f>D28*D24</f>
        <v>46.45630136495907</v>
      </c>
      <c r="E35" s="7" t="s">
        <v>1</v>
      </c>
      <c r="F35" s="93"/>
      <c r="G35" s="94"/>
      <c r="H35" s="95"/>
    </row>
    <row r="36" spans="2:8" ht="12.75">
      <c r="B36" s="8" t="s">
        <v>105</v>
      </c>
      <c r="C36" s="8" t="s">
        <v>107</v>
      </c>
      <c r="D36" s="17">
        <f>D40*D24</f>
        <v>53.3823190493504</v>
      </c>
      <c r="E36" s="7" t="s">
        <v>1</v>
      </c>
      <c r="F36" s="93"/>
      <c r="G36" s="94"/>
      <c r="H36" s="95"/>
    </row>
    <row r="37" spans="2:8" ht="12.75">
      <c r="B37" s="8" t="s">
        <v>109</v>
      </c>
      <c r="C37" s="8" t="s">
        <v>110</v>
      </c>
      <c r="D37" s="17">
        <f>PI()*(D13/10)^2/4*(D26+4)-(PI()*((D15/10)^2-(D14/10)^2)/4)*(D26+4)</f>
        <v>971.8831033145383</v>
      </c>
      <c r="E37" s="7" t="s">
        <v>111</v>
      </c>
      <c r="F37" s="93"/>
      <c r="G37" s="94"/>
      <c r="H37" s="95"/>
    </row>
    <row r="38" spans="2:9" ht="12.75">
      <c r="B38" s="8" t="s">
        <v>112</v>
      </c>
      <c r="C38" s="8" t="s">
        <v>113</v>
      </c>
      <c r="D38" s="17">
        <f>D37-D39</f>
        <v>845.787428181078</v>
      </c>
      <c r="E38" s="7" t="s">
        <v>111</v>
      </c>
      <c r="F38" s="18" t="s">
        <v>209</v>
      </c>
      <c r="G38" s="4"/>
      <c r="H38" s="85">
        <f>1-(D38/D37)</f>
        <v>0.12974366433928108</v>
      </c>
      <c r="I38" s="63"/>
    </row>
    <row r="39" spans="2:8" ht="12.75">
      <c r="B39" s="8" t="s">
        <v>114</v>
      </c>
      <c r="C39" s="8" t="s">
        <v>115</v>
      </c>
      <c r="D39" s="17">
        <f>(PI()*(D27/10)^2/4)*(D26+3)</f>
        <v>126.09567513346033</v>
      </c>
      <c r="E39" s="7" t="s">
        <v>111</v>
      </c>
      <c r="F39" s="93"/>
      <c r="G39" s="94"/>
      <c r="H39" s="95"/>
    </row>
    <row r="40" spans="2:8" ht="15" customHeight="1">
      <c r="B40" s="8" t="s">
        <v>87</v>
      </c>
      <c r="C40" s="8" t="s">
        <v>88</v>
      </c>
      <c r="D40" s="17">
        <f>D28*(D37^1/D38^1)</f>
        <v>40.218035268226096</v>
      </c>
      <c r="E40" s="7" t="s">
        <v>16</v>
      </c>
      <c r="F40" s="93"/>
      <c r="G40" s="94"/>
      <c r="H40" s="95"/>
    </row>
    <row r="41" spans="2:8" ht="15" customHeight="1">
      <c r="B41" s="8" t="s">
        <v>93</v>
      </c>
      <c r="C41" s="8" t="s">
        <v>94</v>
      </c>
      <c r="D41" s="17">
        <f>D28*(D37-D38)*9.81/100</f>
        <v>432.949500570736</v>
      </c>
      <c r="E41" s="7" t="s">
        <v>108</v>
      </c>
      <c r="F41" s="93"/>
      <c r="G41" s="94"/>
      <c r="H41" s="95"/>
    </row>
    <row r="42" spans="2:8" ht="15" customHeight="1">
      <c r="B42" s="8" t="s">
        <v>116</v>
      </c>
      <c r="C42" s="8" t="s">
        <v>117</v>
      </c>
      <c r="D42" s="17">
        <f>0.5*(D32/1000)*D43^2</f>
        <v>22.490883146531743</v>
      </c>
      <c r="E42" s="7" t="s">
        <v>108</v>
      </c>
      <c r="F42" s="21">
        <f>D42/D41</f>
        <v>0.05194805194805195</v>
      </c>
      <c r="G42" s="25" t="s">
        <v>119</v>
      </c>
      <c r="H42" s="26"/>
    </row>
    <row r="43" spans="2:8" ht="15" customHeight="1">
      <c r="B43" s="8" t="s">
        <v>89</v>
      </c>
      <c r="C43" s="8" t="s">
        <v>90</v>
      </c>
      <c r="D43" s="55">
        <f>(D41*2/((D31+D32)/1000))^0.5</f>
        <v>47.42455392149908</v>
      </c>
      <c r="E43" s="7" t="s">
        <v>91</v>
      </c>
      <c r="F43" s="93"/>
      <c r="G43" s="94"/>
      <c r="H43" s="95"/>
    </row>
    <row r="44" spans="2:8" ht="15" customHeight="1">
      <c r="B44" s="8" t="s">
        <v>123</v>
      </c>
      <c r="C44" s="8" t="s">
        <v>125</v>
      </c>
      <c r="D44" s="17">
        <f>(D36*D43*9.81/1000)-(D42*D43*9.81/1000)</f>
        <v>14.371773288997266</v>
      </c>
      <c r="E44" s="7" t="s">
        <v>124</v>
      </c>
      <c r="F44" s="18"/>
      <c r="G44" s="4"/>
      <c r="H44" s="5"/>
    </row>
    <row r="45" spans="2:8" ht="15" customHeight="1">
      <c r="B45" s="8" t="s">
        <v>122</v>
      </c>
      <c r="C45" s="8" t="s">
        <v>92</v>
      </c>
      <c r="D45" s="17">
        <f>2.03*D43^2*0.81*D40/(29.27*293.16*11)</f>
        <v>1.5757535563062552</v>
      </c>
      <c r="E45" s="7" t="s">
        <v>16</v>
      </c>
      <c r="F45" s="90"/>
      <c r="G45" s="91"/>
      <c r="H45" s="92"/>
    </row>
    <row r="46" spans="2:8" ht="15" customHeight="1">
      <c r="B46" s="87" t="s">
        <v>152</v>
      </c>
      <c r="C46" s="88"/>
      <c r="D46" s="88"/>
      <c r="E46" s="88"/>
      <c r="F46" s="87" t="s">
        <v>47</v>
      </c>
      <c r="G46" s="88"/>
      <c r="H46" s="89"/>
    </row>
    <row r="47" spans="2:8" ht="15" customHeight="1">
      <c r="B47" s="8"/>
      <c r="C47" s="47" t="s">
        <v>153</v>
      </c>
      <c r="D47" s="51">
        <v>2.57</v>
      </c>
      <c r="E47" s="7" t="s">
        <v>154</v>
      </c>
      <c r="F47" s="90"/>
      <c r="G47" s="91"/>
      <c r="H47" s="92"/>
    </row>
    <row r="48" spans="2:8" ht="15" customHeight="1">
      <c r="B48" s="8" t="s">
        <v>155</v>
      </c>
      <c r="C48" s="8" t="s">
        <v>156</v>
      </c>
      <c r="D48" s="17">
        <f>(D49*2/(($D$31+$D$32)/1000))^0.5</f>
        <v>36.18489777807119</v>
      </c>
      <c r="E48" s="7" t="s">
        <v>91</v>
      </c>
      <c r="F48" s="90"/>
      <c r="G48" s="91"/>
      <c r="H48" s="92"/>
    </row>
    <row r="49" spans="2:8" ht="15" customHeight="1">
      <c r="B49" s="8"/>
      <c r="C49" s="8" t="s">
        <v>148</v>
      </c>
      <c r="D49" s="17">
        <f>D41*2.718^-(2*G55*D47/F30)</f>
        <v>252.04926423782132</v>
      </c>
      <c r="E49" s="7" t="s">
        <v>108</v>
      </c>
      <c r="F49" s="38" t="s">
        <v>157</v>
      </c>
      <c r="G49" s="64">
        <f>D49/D41</f>
        <v>0.5821678138109807</v>
      </c>
      <c r="H49" s="30" t="s">
        <v>158</v>
      </c>
    </row>
    <row r="50" spans="2:8" ht="15" customHeight="1">
      <c r="B50" s="8"/>
      <c r="C50" s="8" t="s">
        <v>151</v>
      </c>
      <c r="D50" s="17">
        <f>(D31*D43^2)/(0.0494*40000*D30^2)</f>
        <v>8.478447852272254</v>
      </c>
      <c r="E50" s="7" t="s">
        <v>154</v>
      </c>
      <c r="F50" s="15"/>
      <c r="G50" s="4"/>
      <c r="H50" s="5"/>
    </row>
    <row r="51" spans="2:8" ht="12.75">
      <c r="B51" s="8" t="s">
        <v>161</v>
      </c>
      <c r="C51" s="8" t="s">
        <v>162</v>
      </c>
      <c r="D51" s="17">
        <f>(D31+D32)*D43/(D22)</f>
        <v>16.598593872524678</v>
      </c>
      <c r="E51" s="7" t="s">
        <v>91</v>
      </c>
      <c r="F51" s="15"/>
      <c r="G51" s="4"/>
      <c r="H51" s="5"/>
    </row>
    <row r="52" spans="2:8" ht="12.75">
      <c r="B52" s="8" t="s">
        <v>165</v>
      </c>
      <c r="C52" s="8" t="s">
        <v>166</v>
      </c>
      <c r="D52" s="17">
        <f>0.001*D31^1.8*(D48^1.3)/(D30*100)</f>
        <v>6.210329901418247</v>
      </c>
      <c r="E52" s="7" t="s">
        <v>2</v>
      </c>
      <c r="F52" s="72" t="s">
        <v>146</v>
      </c>
      <c r="G52" s="72">
        <v>0.0002</v>
      </c>
      <c r="H52" s="73" t="s">
        <v>150</v>
      </c>
    </row>
    <row r="53" spans="2:8" ht="12.75">
      <c r="B53" s="8" t="s">
        <v>167</v>
      </c>
      <c r="C53" s="8" t="s">
        <v>168</v>
      </c>
      <c r="D53" s="17">
        <f>0.07*D31^1.3/D30*((D48-10)/25)</f>
        <v>22.443552354411032</v>
      </c>
      <c r="E53" s="7" t="s">
        <v>2</v>
      </c>
      <c r="F53" s="72" t="s">
        <v>146</v>
      </c>
      <c r="G53" s="72">
        <v>0.00022</v>
      </c>
      <c r="H53" s="73" t="s">
        <v>149</v>
      </c>
    </row>
    <row r="54" spans="6:8" ht="12.75">
      <c r="F54" s="37" t="s">
        <v>146</v>
      </c>
      <c r="G54" s="40">
        <v>0.00019</v>
      </c>
      <c r="H54" s="41" t="s">
        <v>144</v>
      </c>
    </row>
    <row r="55" spans="6:8" ht="12.75">
      <c r="F55" s="42" t="s">
        <v>145</v>
      </c>
      <c r="G55" s="43">
        <v>2E-05</v>
      </c>
      <c r="H55" s="44"/>
    </row>
    <row r="57" ht="12.75">
      <c r="D57" s="1"/>
    </row>
    <row r="58" ht="12.75">
      <c r="D58" s="60"/>
    </row>
  </sheetData>
  <mergeCells count="41">
    <mergeCell ref="B46:E46"/>
    <mergeCell ref="F46:H46"/>
    <mergeCell ref="C6:E6"/>
    <mergeCell ref="F32:H32"/>
    <mergeCell ref="B8:H8"/>
    <mergeCell ref="F10:H10"/>
    <mergeCell ref="B9:E9"/>
    <mergeCell ref="F14:H14"/>
    <mergeCell ref="F15:H15"/>
    <mergeCell ref="F9:H9"/>
    <mergeCell ref="F47:H47"/>
    <mergeCell ref="F22:H22"/>
    <mergeCell ref="F23:H23"/>
    <mergeCell ref="F16:H16"/>
    <mergeCell ref="F35:H35"/>
    <mergeCell ref="F37:H37"/>
    <mergeCell ref="F17:H17"/>
    <mergeCell ref="F18:H18"/>
    <mergeCell ref="F19:H19"/>
    <mergeCell ref="F11:H11"/>
    <mergeCell ref="F12:H12"/>
    <mergeCell ref="F48:H48"/>
    <mergeCell ref="F39:H39"/>
    <mergeCell ref="F40:H40"/>
    <mergeCell ref="F41:H41"/>
    <mergeCell ref="F43:H43"/>
    <mergeCell ref="F45:H45"/>
    <mergeCell ref="F13:H13"/>
    <mergeCell ref="F36:H36"/>
    <mergeCell ref="B25:E25"/>
    <mergeCell ref="B34:E34"/>
    <mergeCell ref="F34:H34"/>
    <mergeCell ref="F26:H26"/>
    <mergeCell ref="F27:H27"/>
    <mergeCell ref="F29:H29"/>
    <mergeCell ref="F28:H28"/>
    <mergeCell ref="F21:H21"/>
    <mergeCell ref="F31:H31"/>
    <mergeCell ref="F25:H25"/>
    <mergeCell ref="F20:H20"/>
    <mergeCell ref="F24:H24"/>
  </mergeCells>
  <printOptions/>
  <pageMargins left="0.49" right="0.53" top="0.56" bottom="0.57" header="0.5" footer="0.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B2:M58"/>
  <sheetViews>
    <sheetView workbookViewId="0" topLeftCell="A28">
      <selection activeCell="F38" sqref="F38:H38"/>
    </sheetView>
  </sheetViews>
  <sheetFormatPr defaultColWidth="9.140625" defaultRowHeight="12.75"/>
  <cols>
    <col min="1" max="1" width="2.28125" style="0" customWidth="1"/>
    <col min="3" max="3" width="24.7109375" style="0" customWidth="1"/>
    <col min="4" max="4" width="10.57421875" style="0" bestFit="1" customWidth="1"/>
    <col min="6" max="6" width="10.00390625" style="0" bestFit="1" customWidth="1"/>
    <col min="8" max="8" width="17.00390625" style="0" customWidth="1"/>
    <col min="9" max="9" width="7.7109375" style="0" customWidth="1"/>
    <col min="10" max="10" width="6.421875" style="0" customWidth="1"/>
    <col min="11" max="11" width="10.421875" style="0" customWidth="1"/>
    <col min="12" max="12" width="18.8515625" style="0" customWidth="1"/>
    <col min="13" max="13" width="26.7109375" style="0" customWidth="1"/>
  </cols>
  <sheetData>
    <row r="2" spans="3:4" ht="17.25" customHeight="1">
      <c r="C2" s="23"/>
      <c r="D2" s="23"/>
    </row>
    <row r="4" ht="12.75">
      <c r="C4" s="1" t="s">
        <v>126</v>
      </c>
    </row>
    <row r="7" spans="3:5" ht="12.75">
      <c r="C7" s="102"/>
      <c r="D7" s="102"/>
      <c r="E7" s="102"/>
    </row>
    <row r="8" spans="2:8" ht="12.75">
      <c r="B8" s="99" t="s">
        <v>129</v>
      </c>
      <c r="C8" s="100"/>
      <c r="D8" s="100"/>
      <c r="E8" s="100"/>
      <c r="F8" s="100"/>
      <c r="G8" s="100"/>
      <c r="H8" s="101"/>
    </row>
    <row r="9" spans="2:8" ht="12.75">
      <c r="B9" s="99" t="s">
        <v>82</v>
      </c>
      <c r="C9" s="100"/>
      <c r="D9" s="100"/>
      <c r="E9" s="100"/>
      <c r="F9" s="99" t="s">
        <v>47</v>
      </c>
      <c r="G9" s="100"/>
      <c r="H9" s="101"/>
    </row>
    <row r="10" spans="2:13" s="6" customFormat="1" ht="15" customHeight="1">
      <c r="B10" s="65" t="s">
        <v>6</v>
      </c>
      <c r="C10" s="65" t="s">
        <v>7</v>
      </c>
      <c r="D10" s="50">
        <v>145</v>
      </c>
      <c r="E10" s="50" t="s">
        <v>2</v>
      </c>
      <c r="F10" s="96"/>
      <c r="G10" s="97"/>
      <c r="H10" s="98"/>
      <c r="K10"/>
      <c r="L10"/>
      <c r="M10"/>
    </row>
    <row r="11" spans="2:8" s="6" customFormat="1" ht="15" customHeight="1">
      <c r="B11" s="65" t="s">
        <v>8</v>
      </c>
      <c r="C11" s="65" t="s">
        <v>9</v>
      </c>
      <c r="D11" s="48">
        <v>92</v>
      </c>
      <c r="E11" s="50" t="s">
        <v>2</v>
      </c>
      <c r="F11" s="96"/>
      <c r="G11" s="97"/>
      <c r="H11" s="98"/>
    </row>
    <row r="12" spans="2:8" s="6" customFormat="1" ht="15" customHeight="1">
      <c r="B12" s="65" t="s">
        <v>10</v>
      </c>
      <c r="C12" s="65" t="s">
        <v>11</v>
      </c>
      <c r="D12" s="48">
        <v>77</v>
      </c>
      <c r="E12" s="50" t="s">
        <v>2</v>
      </c>
      <c r="F12" s="96"/>
      <c r="G12" s="97"/>
      <c r="H12" s="98"/>
    </row>
    <row r="13" spans="2:8" s="6" customFormat="1" ht="15" customHeight="1">
      <c r="B13" s="65" t="s">
        <v>12</v>
      </c>
      <c r="C13" s="65" t="s">
        <v>41</v>
      </c>
      <c r="D13" s="48">
        <f>SL100!D13</f>
        <v>38</v>
      </c>
      <c r="E13" s="48" t="s">
        <v>3</v>
      </c>
      <c r="F13" s="96"/>
      <c r="G13" s="97"/>
      <c r="H13" s="98"/>
    </row>
    <row r="14" spans="2:8" s="6" customFormat="1" ht="15" customHeight="1">
      <c r="B14" s="65" t="s">
        <v>13</v>
      </c>
      <c r="C14" s="65" t="s">
        <v>42</v>
      </c>
      <c r="D14" s="48">
        <v>11</v>
      </c>
      <c r="E14" s="48" t="s">
        <v>3</v>
      </c>
      <c r="F14" s="96"/>
      <c r="G14" s="97"/>
      <c r="H14" s="98"/>
    </row>
    <row r="15" spans="2:8" s="6" customFormat="1" ht="15" customHeight="1">
      <c r="B15" s="65" t="s">
        <v>43</v>
      </c>
      <c r="C15" s="65" t="s">
        <v>44</v>
      </c>
      <c r="D15" s="48">
        <f>D14+5</f>
        <v>16</v>
      </c>
      <c r="E15" s="48" t="s">
        <v>3</v>
      </c>
      <c r="F15" s="96"/>
      <c r="G15" s="97"/>
      <c r="H15" s="98"/>
    </row>
    <row r="16" spans="2:8" s="6" customFormat="1" ht="15" customHeight="1">
      <c r="B16" s="65" t="s">
        <v>17</v>
      </c>
      <c r="C16" s="65" t="s">
        <v>137</v>
      </c>
      <c r="D16" s="48">
        <v>340</v>
      </c>
      <c r="E16" s="48" t="s">
        <v>4</v>
      </c>
      <c r="F16" s="96" t="s">
        <v>139</v>
      </c>
      <c r="G16" s="97"/>
      <c r="H16" s="98"/>
    </row>
    <row r="17" spans="2:8" s="6" customFormat="1" ht="15" customHeight="1">
      <c r="B17" s="65" t="s">
        <v>45</v>
      </c>
      <c r="C17" s="65" t="s">
        <v>138</v>
      </c>
      <c r="D17" s="48">
        <v>130</v>
      </c>
      <c r="E17" s="50" t="s">
        <v>2</v>
      </c>
      <c r="F17" s="96" t="s">
        <v>139</v>
      </c>
      <c r="G17" s="97"/>
      <c r="H17" s="98"/>
    </row>
    <row r="18" spans="2:8" s="6" customFormat="1" ht="15" customHeight="1">
      <c r="B18" s="65" t="s">
        <v>19</v>
      </c>
      <c r="C18" s="65" t="s">
        <v>18</v>
      </c>
      <c r="D18" s="48">
        <v>330</v>
      </c>
      <c r="E18" s="48" t="s">
        <v>4</v>
      </c>
      <c r="F18" s="96" t="s">
        <v>140</v>
      </c>
      <c r="G18" s="97"/>
      <c r="H18" s="98"/>
    </row>
    <row r="19" spans="2:8" s="6" customFormat="1" ht="15" customHeight="1">
      <c r="B19" s="65" t="s">
        <v>48</v>
      </c>
      <c r="C19" s="65" t="s">
        <v>46</v>
      </c>
      <c r="D19" s="48">
        <v>110</v>
      </c>
      <c r="E19" s="50" t="s">
        <v>2</v>
      </c>
      <c r="F19" s="96" t="s">
        <v>140</v>
      </c>
      <c r="G19" s="97"/>
      <c r="H19" s="98"/>
    </row>
    <row r="20" spans="2:8" s="6" customFormat="1" ht="15" customHeight="1">
      <c r="B20" s="65" t="s">
        <v>50</v>
      </c>
      <c r="C20" s="65" t="s">
        <v>51</v>
      </c>
      <c r="D20" s="48">
        <v>35</v>
      </c>
      <c r="E20" s="48" t="s">
        <v>4</v>
      </c>
      <c r="F20" s="96" t="s">
        <v>141</v>
      </c>
      <c r="G20" s="97"/>
      <c r="H20" s="98"/>
    </row>
    <row r="21" spans="2:8" s="6" customFormat="1" ht="15" customHeight="1">
      <c r="B21" s="65" t="s">
        <v>52</v>
      </c>
      <c r="C21" s="65" t="s">
        <v>53</v>
      </c>
      <c r="D21" s="48">
        <v>12</v>
      </c>
      <c r="E21" s="50" t="s">
        <v>2</v>
      </c>
      <c r="F21" s="96" t="s">
        <v>141</v>
      </c>
      <c r="G21" s="97"/>
      <c r="H21" s="98"/>
    </row>
    <row r="22" spans="2:8" s="6" customFormat="1" ht="15" customHeight="1">
      <c r="B22" s="65" t="s">
        <v>21</v>
      </c>
      <c r="C22" s="65" t="s">
        <v>22</v>
      </c>
      <c r="D22" s="48">
        <v>1100</v>
      </c>
      <c r="E22" s="48" t="s">
        <v>4</v>
      </c>
      <c r="F22" s="96"/>
      <c r="G22" s="97"/>
      <c r="H22" s="98"/>
    </row>
    <row r="23" spans="2:8" s="6" customFormat="1" ht="15" customHeight="1">
      <c r="B23" s="65" t="s">
        <v>39</v>
      </c>
      <c r="C23" s="65" t="s">
        <v>40</v>
      </c>
      <c r="D23" s="48">
        <v>20</v>
      </c>
      <c r="E23" s="48" t="s">
        <v>4</v>
      </c>
      <c r="F23" s="96"/>
      <c r="G23" s="97"/>
      <c r="H23" s="98"/>
    </row>
    <row r="24" spans="2:10" s="6" customFormat="1" ht="15" customHeight="1">
      <c r="B24" s="65" t="s">
        <v>101</v>
      </c>
      <c r="C24" s="65" t="s">
        <v>102</v>
      </c>
      <c r="D24" s="51">
        <f>PI()*(D27/10)^2/4</f>
        <v>0.9503317777109126</v>
      </c>
      <c r="E24" s="48" t="s">
        <v>103</v>
      </c>
      <c r="F24" s="96"/>
      <c r="G24" s="97"/>
      <c r="H24" s="98"/>
      <c r="I24" s="56">
        <f>(D24)/10000*D43*1000</f>
        <v>3.8135358999155216</v>
      </c>
      <c r="J24" s="22" t="s">
        <v>205</v>
      </c>
    </row>
    <row r="25" spans="2:10" ht="12.75">
      <c r="B25" s="87" t="s">
        <v>84</v>
      </c>
      <c r="C25" s="88"/>
      <c r="D25" s="88"/>
      <c r="E25" s="88"/>
      <c r="F25" s="87"/>
      <c r="G25" s="88"/>
      <c r="H25" s="89"/>
      <c r="I25" s="60">
        <f>I24*60</f>
        <v>228.8121539949313</v>
      </c>
      <c r="J25" s="1" t="s">
        <v>206</v>
      </c>
    </row>
    <row r="26" spans="2:10" s="6" customFormat="1" ht="15" customHeight="1">
      <c r="B26" s="65" t="s">
        <v>8</v>
      </c>
      <c r="C26" s="65" t="s">
        <v>9</v>
      </c>
      <c r="D26" s="48">
        <f>D11</f>
        <v>92</v>
      </c>
      <c r="E26" s="48" t="s">
        <v>2</v>
      </c>
      <c r="F26" s="96"/>
      <c r="G26" s="97"/>
      <c r="H26" s="98"/>
      <c r="I26" s="58">
        <f>D39/1000</f>
        <v>0.0902815188825367</v>
      </c>
      <c r="J26" s="22" t="s">
        <v>207</v>
      </c>
    </row>
    <row r="27" spans="2:10" s="6" customFormat="1" ht="15" customHeight="1">
      <c r="B27" s="65" t="s">
        <v>13</v>
      </c>
      <c r="C27" s="65" t="s">
        <v>42</v>
      </c>
      <c r="D27" s="48">
        <v>11</v>
      </c>
      <c r="E27" s="48" t="s">
        <v>3</v>
      </c>
      <c r="F27" s="96"/>
      <c r="G27" s="97"/>
      <c r="H27" s="98"/>
      <c r="J27" s="22"/>
    </row>
    <row r="28" spans="2:11" s="6" customFormat="1" ht="15" customHeight="1">
      <c r="B28" s="65" t="s">
        <v>14</v>
      </c>
      <c r="C28" s="65" t="s">
        <v>15</v>
      </c>
      <c r="D28" s="48">
        <v>35</v>
      </c>
      <c r="E28" s="48" t="s">
        <v>16</v>
      </c>
      <c r="F28" s="96"/>
      <c r="G28" s="97"/>
      <c r="H28" s="98"/>
      <c r="I28" s="59">
        <f>I26/I24</f>
        <v>0.02367396590773844</v>
      </c>
      <c r="J28" s="22" t="s">
        <v>208</v>
      </c>
      <c r="K28" s="6" t="s">
        <v>203</v>
      </c>
    </row>
    <row r="29" spans="2:10" s="6" customFormat="1" ht="15" customHeight="1">
      <c r="B29" s="8" t="s">
        <v>26</v>
      </c>
      <c r="C29" s="8" t="s">
        <v>85</v>
      </c>
      <c r="D29" s="38">
        <f>IF($D$30=7,(D19+D21),D17)</f>
        <v>122</v>
      </c>
      <c r="E29" s="3" t="s">
        <v>2</v>
      </c>
      <c r="F29" s="93"/>
      <c r="G29" s="94"/>
      <c r="H29" s="95"/>
      <c r="J29" s="22"/>
    </row>
    <row r="30" spans="2:11" s="6" customFormat="1" ht="15" customHeight="1">
      <c r="B30" s="65" t="s">
        <v>159</v>
      </c>
      <c r="C30" s="65" t="s">
        <v>160</v>
      </c>
      <c r="D30" s="48">
        <v>7</v>
      </c>
      <c r="E30" s="48" t="s">
        <v>3</v>
      </c>
      <c r="F30" s="67">
        <f>IF(D30=7,G54,G53)</f>
        <v>0.00019</v>
      </c>
      <c r="G30" s="61"/>
      <c r="H30" s="62"/>
      <c r="I30" s="33">
        <f>3.14*J30^2/4</f>
        <v>19.625</v>
      </c>
      <c r="J30" s="22">
        <v>5</v>
      </c>
      <c r="K30" s="6" t="s">
        <v>204</v>
      </c>
    </row>
    <row r="31" spans="2:11" s="6" customFormat="1" ht="15" customHeight="1">
      <c r="B31" s="8" t="s">
        <v>34</v>
      </c>
      <c r="C31" s="8" t="s">
        <v>35</v>
      </c>
      <c r="D31" s="38">
        <f>IF($D$30=7,(D18+D20),D16)</f>
        <v>365</v>
      </c>
      <c r="E31" s="7" t="s">
        <v>4</v>
      </c>
      <c r="F31" s="93" t="s">
        <v>143</v>
      </c>
      <c r="G31" s="94"/>
      <c r="H31" s="95"/>
      <c r="I31" s="57">
        <f>I30*J31/100</f>
        <v>0.785</v>
      </c>
      <c r="J31" s="22">
        <v>4</v>
      </c>
      <c r="K31" s="6" t="s">
        <v>189</v>
      </c>
    </row>
    <row r="32" spans="2:10" s="6" customFormat="1" ht="15" customHeight="1">
      <c r="B32" s="65" t="s">
        <v>39</v>
      </c>
      <c r="C32" s="65" t="s">
        <v>40</v>
      </c>
      <c r="D32" s="48">
        <v>20</v>
      </c>
      <c r="E32" s="48" t="s">
        <v>4</v>
      </c>
      <c r="F32" s="96" t="s">
        <v>54</v>
      </c>
      <c r="G32" s="97"/>
      <c r="H32" s="98"/>
      <c r="J32" s="22"/>
    </row>
    <row r="33" spans="2:8" s="6" customFormat="1" ht="15" customHeight="1">
      <c r="B33" s="12"/>
      <c r="C33" s="13"/>
      <c r="D33" s="14"/>
      <c r="E33" s="14"/>
      <c r="F33" s="18"/>
      <c r="G33" s="4"/>
      <c r="H33" s="5"/>
    </row>
    <row r="34" spans="2:8" ht="12.75">
      <c r="B34" s="87" t="s">
        <v>86</v>
      </c>
      <c r="C34" s="88"/>
      <c r="D34" s="88"/>
      <c r="E34" s="88"/>
      <c r="F34" s="87" t="s">
        <v>47</v>
      </c>
      <c r="G34" s="88"/>
      <c r="H34" s="89"/>
    </row>
    <row r="35" spans="2:8" ht="12.75">
      <c r="B35" s="8" t="s">
        <v>106</v>
      </c>
      <c r="C35" s="8" t="s">
        <v>104</v>
      </c>
      <c r="D35" s="17">
        <f>D28*D24</f>
        <v>33.26161221988194</v>
      </c>
      <c r="E35" s="7" t="s">
        <v>1</v>
      </c>
      <c r="F35" s="93"/>
      <c r="G35" s="94"/>
      <c r="H35" s="95"/>
    </row>
    <row r="36" spans="2:8" ht="12.75">
      <c r="B36" s="8" t="s">
        <v>105</v>
      </c>
      <c r="C36" s="8" t="s">
        <v>107</v>
      </c>
      <c r="D36" s="17">
        <f>D40*D24</f>
        <v>36.61052683302161</v>
      </c>
      <c r="E36" s="7" t="s">
        <v>1</v>
      </c>
      <c r="F36" s="93"/>
      <c r="G36" s="94"/>
      <c r="H36" s="95"/>
    </row>
    <row r="37" spans="2:8" ht="12.75">
      <c r="B37" s="8" t="s">
        <v>109</v>
      </c>
      <c r="C37" s="8" t="s">
        <v>110</v>
      </c>
      <c r="D37" s="17">
        <f>PI()*(D13/10)^2/4*(D26+4)-(PI()*((D15/10)^2-(D14/10)^2)/4)*(D26+4)</f>
        <v>986.9627480517693</v>
      </c>
      <c r="E37" s="7" t="s">
        <v>111</v>
      </c>
      <c r="F37" s="93"/>
      <c r="G37" s="94"/>
      <c r="H37" s="95"/>
    </row>
    <row r="38" spans="2:8" ht="12.75">
      <c r="B38" s="8" t="s">
        <v>112</v>
      </c>
      <c r="C38" s="8" t="s">
        <v>113</v>
      </c>
      <c r="D38" s="17">
        <f>D37-D39</f>
        <v>896.6812291692326</v>
      </c>
      <c r="E38" s="7" t="s">
        <v>111</v>
      </c>
      <c r="F38" s="18" t="s">
        <v>209</v>
      </c>
      <c r="G38" s="4"/>
      <c r="H38" s="85">
        <f>1-(D38/D37)</f>
        <v>0.09147408963585435</v>
      </c>
    </row>
    <row r="39" spans="2:8" ht="12.75">
      <c r="B39" s="8" t="s">
        <v>114</v>
      </c>
      <c r="C39" s="8" t="s">
        <v>115</v>
      </c>
      <c r="D39" s="17">
        <f>(PI()*(D27/10)^2/4)*(D26+3)</f>
        <v>90.2815188825367</v>
      </c>
      <c r="E39" s="7" t="s">
        <v>111</v>
      </c>
      <c r="F39" s="93"/>
      <c r="G39" s="94"/>
      <c r="H39" s="95"/>
    </row>
    <row r="40" spans="2:8" ht="15" customHeight="1">
      <c r="B40" s="8" t="s">
        <v>87</v>
      </c>
      <c r="C40" s="8" t="s">
        <v>88</v>
      </c>
      <c r="D40" s="17">
        <f>D28*(D37^1/D38^1)</f>
        <v>38.523942576356106</v>
      </c>
      <c r="E40" s="7" t="s">
        <v>16</v>
      </c>
      <c r="F40" s="93"/>
      <c r="G40" s="94"/>
      <c r="H40" s="95"/>
    </row>
    <row r="41" spans="2:8" ht="15" customHeight="1">
      <c r="B41" s="8" t="s">
        <v>93</v>
      </c>
      <c r="C41" s="8" t="s">
        <v>94</v>
      </c>
      <c r="D41" s="17">
        <f>D28*(D37-D38)*9.81/100</f>
        <v>309.9815950831898</v>
      </c>
      <c r="E41" s="7" t="s">
        <v>108</v>
      </c>
      <c r="F41" s="93"/>
      <c r="G41" s="94"/>
      <c r="H41" s="95"/>
    </row>
    <row r="42" spans="2:8" ht="15" customHeight="1">
      <c r="B42" s="8" t="s">
        <v>116</v>
      </c>
      <c r="C42" s="8" t="s">
        <v>117</v>
      </c>
      <c r="D42" s="17">
        <f>0.5*(D32/1000)*D43^2</f>
        <v>16.102940004321546</v>
      </c>
      <c r="E42" s="7" t="s">
        <v>108</v>
      </c>
      <c r="F42" s="86">
        <f>D42/D41</f>
        <v>0.051948051948051945</v>
      </c>
      <c r="G42" s="25" t="s">
        <v>119</v>
      </c>
      <c r="H42" s="26"/>
    </row>
    <row r="43" spans="2:8" ht="15" customHeight="1">
      <c r="B43" s="8" t="s">
        <v>89</v>
      </c>
      <c r="C43" s="8" t="s">
        <v>90</v>
      </c>
      <c r="D43" s="55">
        <f>(D41*2/((D31+D32)/1000))^0.5</f>
        <v>40.12846870280692</v>
      </c>
      <c r="E43" s="7" t="s">
        <v>91</v>
      </c>
      <c r="F43" s="93"/>
      <c r="G43" s="94"/>
      <c r="H43" s="95"/>
    </row>
    <row r="44" spans="2:8" ht="15" customHeight="1">
      <c r="B44" s="8" t="s">
        <v>123</v>
      </c>
      <c r="C44" s="8" t="s">
        <v>125</v>
      </c>
      <c r="D44" s="17">
        <f>(D36*D43*9.81/1000)-(D42*D43*9.81/1000)</f>
        <v>8.073022331572997</v>
      </c>
      <c r="E44" s="7" t="s">
        <v>124</v>
      </c>
      <c r="F44" s="18"/>
      <c r="G44" s="4"/>
      <c r="H44" s="5"/>
    </row>
    <row r="45" spans="2:8" ht="15" customHeight="1">
      <c r="B45" s="8" t="s">
        <v>122</v>
      </c>
      <c r="C45" s="8" t="s">
        <v>92</v>
      </c>
      <c r="D45" s="17">
        <f>2.03*D43^2*0.81*D40/(29.27*293.16*11)</f>
        <v>1.0806793126025012</v>
      </c>
      <c r="E45" s="7" t="s">
        <v>16</v>
      </c>
      <c r="F45" s="90"/>
      <c r="G45" s="91"/>
      <c r="H45" s="92"/>
    </row>
    <row r="46" spans="2:8" ht="15" customHeight="1">
      <c r="B46" s="87" t="s">
        <v>152</v>
      </c>
      <c r="C46" s="88"/>
      <c r="D46" s="88"/>
      <c r="E46" s="88"/>
      <c r="F46" s="87" t="s">
        <v>47</v>
      </c>
      <c r="G46" s="88"/>
      <c r="H46" s="89"/>
    </row>
    <row r="47" spans="2:8" ht="15" customHeight="1">
      <c r="B47" s="8"/>
      <c r="C47" s="47" t="s">
        <v>153</v>
      </c>
      <c r="D47" s="51">
        <v>2.57</v>
      </c>
      <c r="E47" s="7" t="s">
        <v>154</v>
      </c>
      <c r="F47" s="90"/>
      <c r="G47" s="91"/>
      <c r="H47" s="92"/>
    </row>
    <row r="48" spans="2:8" ht="15" customHeight="1">
      <c r="B48" s="8" t="s">
        <v>155</v>
      </c>
      <c r="C48" s="8" t="s">
        <v>156</v>
      </c>
      <c r="D48" s="17">
        <f>(D49*2/(($D$31+$D$32)/1000))^0.5</f>
        <v>30.617990427598706</v>
      </c>
      <c r="E48" s="7" t="s">
        <v>91</v>
      </c>
      <c r="F48" s="90"/>
      <c r="G48" s="91"/>
      <c r="H48" s="92"/>
    </row>
    <row r="49" spans="2:8" ht="15" customHeight="1">
      <c r="B49" s="8"/>
      <c r="C49" s="8" t="s">
        <v>148</v>
      </c>
      <c r="D49" s="17">
        <f>D41*2.718^-(2*G55*D47/F30)</f>
        <v>180.46130753122125</v>
      </c>
      <c r="E49" s="7" t="s">
        <v>108</v>
      </c>
      <c r="F49" s="38" t="s">
        <v>157</v>
      </c>
      <c r="G49" s="64">
        <f>D49/D41</f>
        <v>0.5821678138109807</v>
      </c>
      <c r="H49" s="30" t="s">
        <v>158</v>
      </c>
    </row>
    <row r="50" spans="2:8" ht="15" customHeight="1">
      <c r="B50" s="8"/>
      <c r="C50" s="8" t="s">
        <v>151</v>
      </c>
      <c r="D50" s="17">
        <f>(D31*D43^2)/(0.0494*40000*D30^2)</f>
        <v>6.070367988904986</v>
      </c>
      <c r="E50" s="7" t="s">
        <v>154</v>
      </c>
      <c r="F50" s="15"/>
      <c r="G50" s="4"/>
      <c r="H50" s="5"/>
    </row>
    <row r="51" spans="2:8" ht="12.75">
      <c r="B51" s="8" t="s">
        <v>161</v>
      </c>
      <c r="C51" s="8" t="s">
        <v>162</v>
      </c>
      <c r="D51" s="17">
        <f>(D31+D32)*D43/(D22)</f>
        <v>14.044964045982422</v>
      </c>
      <c r="E51" s="7" t="s">
        <v>91</v>
      </c>
      <c r="F51" s="90"/>
      <c r="G51" s="91"/>
      <c r="H51" s="92"/>
    </row>
    <row r="52" spans="2:8" ht="12.75">
      <c r="B52" s="8" t="s">
        <v>165</v>
      </c>
      <c r="C52" s="8" t="s">
        <v>166</v>
      </c>
      <c r="D52" s="17">
        <f>0.001*D31^1.8*(D48^1.3)/(D30*100)</f>
        <v>4.9980293697407765</v>
      </c>
      <c r="E52" s="7" t="s">
        <v>2</v>
      </c>
      <c r="F52" s="74" t="s">
        <v>146</v>
      </c>
      <c r="G52" s="75">
        <v>0.0002</v>
      </c>
      <c r="H52" s="76" t="s">
        <v>150</v>
      </c>
    </row>
    <row r="53" spans="2:8" ht="12.75">
      <c r="B53" s="8" t="s">
        <v>167</v>
      </c>
      <c r="C53" s="8" t="s">
        <v>168</v>
      </c>
      <c r="D53" s="17">
        <f>0.07*D31^1.3/D30*((D48-10)/25)</f>
        <v>17.672054767083498</v>
      </c>
      <c r="E53" s="7" t="s">
        <v>2</v>
      </c>
      <c r="F53" s="42" t="s">
        <v>146</v>
      </c>
      <c r="G53" s="43">
        <v>0.00022</v>
      </c>
      <c r="H53" s="44" t="s">
        <v>149</v>
      </c>
    </row>
    <row r="54" spans="6:8" ht="12.75">
      <c r="F54" s="37" t="s">
        <v>146</v>
      </c>
      <c r="G54" s="40">
        <v>0.00019</v>
      </c>
      <c r="H54" s="41" t="s">
        <v>144</v>
      </c>
    </row>
    <row r="55" spans="6:8" ht="12.75">
      <c r="F55" s="42" t="s">
        <v>145</v>
      </c>
      <c r="G55" s="43">
        <v>2E-05</v>
      </c>
      <c r="H55" s="44"/>
    </row>
    <row r="57" ht="12.75">
      <c r="D57" s="1"/>
    </row>
    <row r="58" ht="12.75">
      <c r="D58" s="60"/>
    </row>
  </sheetData>
  <mergeCells count="42">
    <mergeCell ref="F36:H36"/>
    <mergeCell ref="F37:H37"/>
    <mergeCell ref="F17:H17"/>
    <mergeCell ref="F18:H18"/>
    <mergeCell ref="F19:H19"/>
    <mergeCell ref="F21:H21"/>
    <mergeCell ref="F31:H31"/>
    <mergeCell ref="F25:H25"/>
    <mergeCell ref="F20:H20"/>
    <mergeCell ref="F24:H24"/>
    <mergeCell ref="B34:E34"/>
    <mergeCell ref="F34:H34"/>
    <mergeCell ref="F26:H26"/>
    <mergeCell ref="F27:H27"/>
    <mergeCell ref="F29:H29"/>
    <mergeCell ref="F28:H28"/>
    <mergeCell ref="F48:H48"/>
    <mergeCell ref="F39:H39"/>
    <mergeCell ref="F40:H40"/>
    <mergeCell ref="F41:H41"/>
    <mergeCell ref="F43:H43"/>
    <mergeCell ref="F45:H45"/>
    <mergeCell ref="F10:H10"/>
    <mergeCell ref="F35:H35"/>
    <mergeCell ref="B9:E9"/>
    <mergeCell ref="F14:H14"/>
    <mergeCell ref="F15:H15"/>
    <mergeCell ref="F9:H9"/>
    <mergeCell ref="F11:H11"/>
    <mergeCell ref="F12:H12"/>
    <mergeCell ref="F13:H13"/>
    <mergeCell ref="B25:E25"/>
    <mergeCell ref="B46:E46"/>
    <mergeCell ref="F46:H46"/>
    <mergeCell ref="F51:H51"/>
    <mergeCell ref="C7:E7"/>
    <mergeCell ref="F32:H32"/>
    <mergeCell ref="F47:H47"/>
    <mergeCell ref="F22:H22"/>
    <mergeCell ref="F23:H23"/>
    <mergeCell ref="F16:H16"/>
    <mergeCell ref="B8:H8"/>
  </mergeCells>
  <printOptions/>
  <pageMargins left="0.49" right="0.53" top="0.56" bottom="0.57" header="0.5" footer="0.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1">
    <pageSetUpPr fitToPage="1"/>
  </sheetPr>
  <dimension ref="B2:I59"/>
  <sheetViews>
    <sheetView tabSelected="1" workbookViewId="0" topLeftCell="A37">
      <selection activeCell="F60" sqref="F60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24.7109375" style="0" customWidth="1"/>
    <col min="4" max="4" width="10.57421875" style="0" bestFit="1" customWidth="1"/>
    <col min="8" max="8" width="17.00390625" style="0" customWidth="1"/>
  </cols>
  <sheetData>
    <row r="1" ht="10.5" customHeight="1"/>
    <row r="2" ht="9.75" customHeight="1">
      <c r="D2" s="24"/>
    </row>
    <row r="3" spans="3:4" ht="9.75" customHeight="1">
      <c r="C3" s="23"/>
      <c r="D3" s="23"/>
    </row>
    <row r="5" spans="3:4" ht="12.75">
      <c r="C5" s="1" t="s">
        <v>126</v>
      </c>
      <c r="D5" s="1" t="s">
        <v>128</v>
      </c>
    </row>
    <row r="7" spans="3:5" ht="12.75">
      <c r="C7" s="102" t="s">
        <v>127</v>
      </c>
      <c r="D7" s="102"/>
      <c r="E7" s="102"/>
    </row>
    <row r="8" spans="2:8" ht="15" customHeight="1">
      <c r="B8" s="12"/>
      <c r="C8" s="13"/>
      <c r="D8" s="14"/>
      <c r="E8" s="14"/>
      <c r="F8" s="15"/>
      <c r="G8" s="4"/>
      <c r="H8" s="5"/>
    </row>
    <row r="9" spans="2:8" ht="15" customHeight="1">
      <c r="B9" s="99" t="s">
        <v>23</v>
      </c>
      <c r="C9" s="100"/>
      <c r="D9" s="100"/>
      <c r="E9" s="100"/>
      <c r="F9" s="100"/>
      <c r="G9" s="100"/>
      <c r="H9" s="100"/>
    </row>
    <row r="10" spans="2:8" ht="12.75">
      <c r="B10" s="99" t="s">
        <v>82</v>
      </c>
      <c r="C10" s="100"/>
      <c r="D10" s="100"/>
      <c r="E10" s="100"/>
      <c r="F10" s="99" t="s">
        <v>47</v>
      </c>
      <c r="G10" s="100"/>
      <c r="H10" s="101"/>
    </row>
    <row r="11" spans="2:8" s="6" customFormat="1" ht="15" customHeight="1">
      <c r="B11" s="65" t="s">
        <v>6</v>
      </c>
      <c r="C11" s="65" t="s">
        <v>7</v>
      </c>
      <c r="D11" s="50">
        <v>140</v>
      </c>
      <c r="E11" s="50" t="s">
        <v>2</v>
      </c>
      <c r="F11" s="66" t="s">
        <v>194</v>
      </c>
      <c r="G11" s="53">
        <v>90</v>
      </c>
      <c r="H11" s="62"/>
    </row>
    <row r="12" spans="2:9" s="6" customFormat="1" ht="15" customHeight="1">
      <c r="B12" s="65" t="s">
        <v>8</v>
      </c>
      <c r="C12" s="65" t="s">
        <v>9</v>
      </c>
      <c r="D12" s="48">
        <v>59</v>
      </c>
      <c r="E12" s="50" t="s">
        <v>2</v>
      </c>
      <c r="F12" s="96" t="s">
        <v>63</v>
      </c>
      <c r="G12" s="97"/>
      <c r="H12" s="98"/>
      <c r="I12" s="6">
        <f>D12+D13</f>
        <v>82</v>
      </c>
    </row>
    <row r="13" spans="2:8" s="6" customFormat="1" ht="15" customHeight="1">
      <c r="B13" s="65" t="s">
        <v>24</v>
      </c>
      <c r="C13" s="65" t="s">
        <v>25</v>
      </c>
      <c r="D13" s="48">
        <v>23</v>
      </c>
      <c r="E13" s="50" t="s">
        <v>2</v>
      </c>
      <c r="F13" s="96"/>
      <c r="G13" s="97"/>
      <c r="H13" s="98"/>
    </row>
    <row r="14" spans="2:8" s="6" customFormat="1" ht="15" customHeight="1">
      <c r="B14" s="65" t="s">
        <v>26</v>
      </c>
      <c r="C14" s="65" t="s">
        <v>27</v>
      </c>
      <c r="D14" s="48">
        <v>130</v>
      </c>
      <c r="E14" s="50" t="s">
        <v>2</v>
      </c>
      <c r="F14" s="96"/>
      <c r="G14" s="97"/>
      <c r="H14" s="98"/>
    </row>
    <row r="15" spans="2:8" s="6" customFormat="1" ht="15" customHeight="1">
      <c r="B15" s="65" t="s">
        <v>28</v>
      </c>
      <c r="C15" s="65" t="s">
        <v>29</v>
      </c>
      <c r="D15" s="48">
        <v>6.5</v>
      </c>
      <c r="E15" s="50" t="s">
        <v>2</v>
      </c>
      <c r="F15" s="96"/>
      <c r="G15" s="97"/>
      <c r="H15" s="98"/>
    </row>
    <row r="16" spans="2:8" s="6" customFormat="1" ht="15" customHeight="1">
      <c r="B16" s="65" t="s">
        <v>30</v>
      </c>
      <c r="C16" s="65" t="s">
        <v>31</v>
      </c>
      <c r="D16" s="48">
        <v>95</v>
      </c>
      <c r="E16" s="48" t="s">
        <v>4</v>
      </c>
      <c r="F16" s="96" t="s">
        <v>78</v>
      </c>
      <c r="G16" s="97"/>
      <c r="H16" s="98"/>
    </row>
    <row r="17" spans="2:8" s="6" customFormat="1" ht="15" customHeight="1">
      <c r="B17" s="65" t="s">
        <v>61</v>
      </c>
      <c r="C17" s="65" t="s">
        <v>55</v>
      </c>
      <c r="D17" s="48">
        <v>105</v>
      </c>
      <c r="E17" s="48" t="s">
        <v>4</v>
      </c>
      <c r="F17" s="96" t="s">
        <v>57</v>
      </c>
      <c r="G17" s="97"/>
      <c r="H17" s="98"/>
    </row>
    <row r="18" spans="2:8" s="6" customFormat="1" ht="15" customHeight="1">
      <c r="B18" s="65" t="s">
        <v>32</v>
      </c>
      <c r="C18" s="65" t="s">
        <v>33</v>
      </c>
      <c r="D18" s="48">
        <v>122</v>
      </c>
      <c r="E18" s="48" t="s">
        <v>4</v>
      </c>
      <c r="F18" s="96" t="s">
        <v>58</v>
      </c>
      <c r="G18" s="97"/>
      <c r="H18" s="98"/>
    </row>
    <row r="19" spans="2:8" s="6" customFormat="1" ht="15" customHeight="1">
      <c r="B19" s="65" t="s">
        <v>34</v>
      </c>
      <c r="C19" s="65" t="s">
        <v>35</v>
      </c>
      <c r="D19" s="48">
        <v>285</v>
      </c>
      <c r="E19" s="48" t="s">
        <v>4</v>
      </c>
      <c r="F19" s="96" t="s">
        <v>59</v>
      </c>
      <c r="G19" s="97"/>
      <c r="H19" s="98"/>
    </row>
    <row r="20" spans="2:8" s="6" customFormat="1" ht="15" customHeight="1">
      <c r="B20" s="65" t="s">
        <v>34</v>
      </c>
      <c r="C20" s="65" t="s">
        <v>35</v>
      </c>
      <c r="D20" s="48">
        <v>257</v>
      </c>
      <c r="E20" s="48" t="s">
        <v>4</v>
      </c>
      <c r="F20" s="96" t="s">
        <v>133</v>
      </c>
      <c r="G20" s="97"/>
      <c r="H20" s="98"/>
    </row>
    <row r="21" spans="2:8" s="6" customFormat="1" ht="15" customHeight="1">
      <c r="B21" s="65" t="s">
        <v>34</v>
      </c>
      <c r="C21" s="65" t="s">
        <v>35</v>
      </c>
      <c r="D21" s="48">
        <v>337</v>
      </c>
      <c r="E21" s="48" t="s">
        <v>4</v>
      </c>
      <c r="F21" s="96" t="s">
        <v>134</v>
      </c>
      <c r="G21" s="97"/>
      <c r="H21" s="98"/>
    </row>
    <row r="22" spans="2:8" s="6" customFormat="1" ht="15" customHeight="1">
      <c r="B22" s="65" t="s">
        <v>34</v>
      </c>
      <c r="C22" s="65" t="s">
        <v>35</v>
      </c>
      <c r="D22" s="48">
        <v>302</v>
      </c>
      <c r="E22" s="48" t="s">
        <v>4</v>
      </c>
      <c r="F22" s="96" t="s">
        <v>135</v>
      </c>
      <c r="G22" s="97"/>
      <c r="H22" s="98"/>
    </row>
    <row r="23" spans="2:8" s="6" customFormat="1" ht="15" customHeight="1">
      <c r="B23" s="65" t="s">
        <v>36</v>
      </c>
      <c r="C23" s="65" t="s">
        <v>37</v>
      </c>
      <c r="D23" s="48">
        <v>15</v>
      </c>
      <c r="E23" s="48" t="s">
        <v>4</v>
      </c>
      <c r="F23" s="96" t="s">
        <v>60</v>
      </c>
      <c r="G23" s="97"/>
      <c r="H23" s="98"/>
    </row>
    <row r="24" spans="2:8" s="6" customFormat="1" ht="15" customHeight="1">
      <c r="B24" s="65" t="s">
        <v>21</v>
      </c>
      <c r="C24" s="65" t="s">
        <v>22</v>
      </c>
      <c r="D24" s="48">
        <v>660</v>
      </c>
      <c r="E24" s="48" t="s">
        <v>4</v>
      </c>
      <c r="F24" s="96" t="s">
        <v>62</v>
      </c>
      <c r="G24" s="97"/>
      <c r="H24" s="98"/>
    </row>
    <row r="25" spans="2:8" s="6" customFormat="1" ht="15" customHeight="1">
      <c r="B25" s="65"/>
      <c r="C25" s="65"/>
      <c r="D25" s="48"/>
      <c r="E25" s="48"/>
      <c r="F25" s="96"/>
      <c r="G25" s="97"/>
      <c r="H25" s="98"/>
    </row>
    <row r="26" spans="2:8" s="6" customFormat="1" ht="15" customHeight="1">
      <c r="B26" s="65"/>
      <c r="C26" s="65"/>
      <c r="D26" s="48"/>
      <c r="E26" s="48"/>
      <c r="F26" s="96"/>
      <c r="G26" s="97"/>
      <c r="H26" s="98"/>
    </row>
    <row r="27" spans="2:8" s="6" customFormat="1" ht="15" customHeight="1">
      <c r="B27" s="65"/>
      <c r="C27" s="65"/>
      <c r="D27" s="48"/>
      <c r="E27" s="48"/>
      <c r="F27" s="96"/>
      <c r="G27" s="97"/>
      <c r="H27" s="98"/>
    </row>
    <row r="28" spans="2:8" ht="12.75">
      <c r="B28" s="87" t="s">
        <v>83</v>
      </c>
      <c r="C28" s="88"/>
      <c r="D28" s="88"/>
      <c r="E28" s="88"/>
      <c r="F28" s="87" t="s">
        <v>47</v>
      </c>
      <c r="G28" s="88"/>
      <c r="H28" s="89"/>
    </row>
    <row r="29" spans="2:8" ht="12.75">
      <c r="B29" s="87" t="s">
        <v>84</v>
      </c>
      <c r="C29" s="88"/>
      <c r="D29" s="88"/>
      <c r="E29" s="88"/>
      <c r="F29" s="87"/>
      <c r="G29" s="88"/>
      <c r="H29" s="89"/>
    </row>
    <row r="30" spans="2:8" ht="12.75">
      <c r="B30" s="65" t="s">
        <v>8</v>
      </c>
      <c r="C30" s="65" t="s">
        <v>9</v>
      </c>
      <c r="D30" s="48">
        <f>G11-D31-D33</f>
        <v>60</v>
      </c>
      <c r="E30" s="50" t="s">
        <v>2</v>
      </c>
      <c r="F30" s="96"/>
      <c r="G30" s="97"/>
      <c r="H30" s="98"/>
    </row>
    <row r="31" spans="2:8" ht="12.75">
      <c r="B31" s="65" t="s">
        <v>24</v>
      </c>
      <c r="C31" s="65" t="s">
        <v>25</v>
      </c>
      <c r="D31" s="48">
        <v>23</v>
      </c>
      <c r="E31" s="50" t="s">
        <v>2</v>
      </c>
      <c r="F31" s="96"/>
      <c r="G31" s="97"/>
      <c r="H31" s="98"/>
    </row>
    <row r="32" spans="2:8" ht="12.75">
      <c r="B32" s="65" t="s">
        <v>26</v>
      </c>
      <c r="C32" s="65" t="s">
        <v>27</v>
      </c>
      <c r="D32" s="48">
        <v>130</v>
      </c>
      <c r="E32" s="50" t="s">
        <v>2</v>
      </c>
      <c r="F32" s="96"/>
      <c r="G32" s="97"/>
      <c r="H32" s="98"/>
    </row>
    <row r="33" spans="2:8" ht="12.75">
      <c r="B33" s="65" t="s">
        <v>28</v>
      </c>
      <c r="C33" s="65" t="s">
        <v>95</v>
      </c>
      <c r="D33" s="48">
        <v>7</v>
      </c>
      <c r="E33" s="50" t="s">
        <v>2</v>
      </c>
      <c r="F33" s="96"/>
      <c r="G33" s="97"/>
      <c r="H33" s="98"/>
    </row>
    <row r="34" spans="2:8" ht="12.75">
      <c r="B34" s="65" t="s">
        <v>159</v>
      </c>
      <c r="C34" s="65" t="s">
        <v>160</v>
      </c>
      <c r="D34" s="48">
        <v>6</v>
      </c>
      <c r="E34" s="48" t="s">
        <v>3</v>
      </c>
      <c r="F34" s="67">
        <f>IF(D34=6,G53,G54)</f>
        <v>0.0002</v>
      </c>
      <c r="G34" s="61"/>
      <c r="H34" s="62"/>
    </row>
    <row r="35" spans="2:9" ht="12.75">
      <c r="B35" s="8" t="s">
        <v>34</v>
      </c>
      <c r="C35" s="8" t="s">
        <v>35</v>
      </c>
      <c r="D35" s="38">
        <f>IF($D$34=6,D19,D21)</f>
        <v>285</v>
      </c>
      <c r="E35" s="7" t="s">
        <v>4</v>
      </c>
      <c r="F35" s="93"/>
      <c r="G35" s="94"/>
      <c r="H35" s="95"/>
      <c r="I35" s="7">
        <f>D35+D36+D37</f>
        <v>405</v>
      </c>
    </row>
    <row r="36" spans="2:8" ht="12.75">
      <c r="B36" s="65" t="s">
        <v>171</v>
      </c>
      <c r="C36" s="65" t="s">
        <v>130</v>
      </c>
      <c r="D36" s="48">
        <v>105</v>
      </c>
      <c r="E36" s="48" t="s">
        <v>4</v>
      </c>
      <c r="F36" s="96" t="s">
        <v>57</v>
      </c>
      <c r="G36" s="97"/>
      <c r="H36" s="98"/>
    </row>
    <row r="37" spans="2:8" ht="12.75">
      <c r="B37" s="65" t="s">
        <v>172</v>
      </c>
      <c r="C37" s="65" t="s">
        <v>37</v>
      </c>
      <c r="D37" s="48">
        <v>15</v>
      </c>
      <c r="E37" s="48" t="s">
        <v>4</v>
      </c>
      <c r="F37" s="96"/>
      <c r="G37" s="97"/>
      <c r="H37" s="98"/>
    </row>
    <row r="38" spans="2:8" ht="12.75">
      <c r="B38" s="65" t="s">
        <v>99</v>
      </c>
      <c r="C38" s="65" t="s">
        <v>100</v>
      </c>
      <c r="D38" s="52">
        <v>20</v>
      </c>
      <c r="E38" s="50" t="s">
        <v>3</v>
      </c>
      <c r="F38" s="96"/>
      <c r="G38" s="97"/>
      <c r="H38" s="98"/>
    </row>
    <row r="39" spans="2:8" ht="12.75">
      <c r="B39" s="87" t="s">
        <v>86</v>
      </c>
      <c r="C39" s="88"/>
      <c r="D39" s="88"/>
      <c r="E39" s="89"/>
      <c r="F39" s="87" t="s">
        <v>47</v>
      </c>
      <c r="G39" s="88"/>
      <c r="H39" s="89"/>
    </row>
    <row r="40" spans="2:8" ht="12.75">
      <c r="B40" s="8" t="s">
        <v>0</v>
      </c>
      <c r="C40" s="8" t="s">
        <v>98</v>
      </c>
      <c r="D40" s="17">
        <v>60</v>
      </c>
      <c r="E40" s="7" t="s">
        <v>1</v>
      </c>
      <c r="F40" s="93"/>
      <c r="G40" s="94"/>
      <c r="H40" s="95"/>
    </row>
    <row r="41" spans="2:8" ht="12.75">
      <c r="B41" s="8" t="s">
        <v>147</v>
      </c>
      <c r="C41" s="8" t="s">
        <v>94</v>
      </c>
      <c r="D41" s="17">
        <f>IF(D38=20,D40*(D30/2)/100*9.81*1.16,D40*(D30/2)/100*9.81*1.1)</f>
        <v>204.8328</v>
      </c>
      <c r="E41" s="7" t="s">
        <v>108</v>
      </c>
      <c r="F41" s="103" t="s">
        <v>163</v>
      </c>
      <c r="G41" s="94"/>
      <c r="H41" s="95"/>
    </row>
    <row r="42" spans="2:9" ht="12.75">
      <c r="B42" s="8" t="s">
        <v>116</v>
      </c>
      <c r="C42" s="8" t="s">
        <v>118</v>
      </c>
      <c r="D42" s="17">
        <f>0.5*((D36*(D45/2)^2)/1000)+0.5*(D37/1000)*D45^2</f>
        <v>25.89839999999999</v>
      </c>
      <c r="E42" s="7" t="s">
        <v>108</v>
      </c>
      <c r="F42" s="18" t="s">
        <v>131</v>
      </c>
      <c r="G42" s="31">
        <f>D42/D41</f>
        <v>0.12643678160919536</v>
      </c>
      <c r="H42" s="30" t="s">
        <v>132</v>
      </c>
      <c r="I42" s="32"/>
    </row>
    <row r="43" spans="2:8" ht="12.75">
      <c r="B43" s="8" t="s">
        <v>120</v>
      </c>
      <c r="C43" s="8" t="s">
        <v>121</v>
      </c>
      <c r="D43" s="17">
        <f>D41-D42</f>
        <v>178.9344</v>
      </c>
      <c r="E43" s="7" t="s">
        <v>108</v>
      </c>
      <c r="F43" s="18"/>
      <c r="G43" s="4"/>
      <c r="H43" s="5"/>
    </row>
    <row r="44" spans="2:8" ht="12.75">
      <c r="B44" s="8" t="s">
        <v>96</v>
      </c>
      <c r="C44" s="8" t="s">
        <v>97</v>
      </c>
      <c r="D44" s="27">
        <f>1-(D42/D41)</f>
        <v>0.8735632183908046</v>
      </c>
      <c r="E44" s="7"/>
      <c r="F44" s="93"/>
      <c r="G44" s="94"/>
      <c r="H44" s="95"/>
    </row>
    <row r="45" spans="2:8" ht="12.75">
      <c r="B45" s="8" t="s">
        <v>89</v>
      </c>
      <c r="C45" s="8" t="s">
        <v>90</v>
      </c>
      <c r="D45" s="55">
        <f>(D41/((D35/2)+(D36/8)+(D37/2))*1000)^0.5</f>
        <v>35.43557534456016</v>
      </c>
      <c r="E45" s="7" t="s">
        <v>91</v>
      </c>
      <c r="F45" s="93"/>
      <c r="G45" s="94"/>
      <c r="H45" s="95"/>
    </row>
    <row r="46" spans="2:8" ht="12.75">
      <c r="B46" s="8" t="s">
        <v>123</v>
      </c>
      <c r="C46" s="8" t="s">
        <v>125</v>
      </c>
      <c r="D46" s="17">
        <f>(D43/D30*10)*D45*9.81/1000</f>
        <v>10.366951980146544</v>
      </c>
      <c r="E46" s="7" t="s">
        <v>124</v>
      </c>
      <c r="F46" s="18"/>
      <c r="G46" s="4"/>
      <c r="H46" s="5"/>
    </row>
    <row r="47" spans="2:8" ht="12.75">
      <c r="B47" s="87" t="s">
        <v>152</v>
      </c>
      <c r="C47" s="88"/>
      <c r="D47" s="88"/>
      <c r="E47" s="88"/>
      <c r="F47" s="87" t="s">
        <v>47</v>
      </c>
      <c r="G47" s="88"/>
      <c r="H47" s="89"/>
    </row>
    <row r="48" spans="2:8" ht="12.75">
      <c r="B48" s="8"/>
      <c r="C48" s="47" t="s">
        <v>153</v>
      </c>
      <c r="D48" s="51">
        <v>3</v>
      </c>
      <c r="E48" s="7" t="s">
        <v>154</v>
      </c>
      <c r="F48" s="90"/>
      <c r="G48" s="91"/>
      <c r="H48" s="92"/>
    </row>
    <row r="49" spans="2:8" ht="12.75">
      <c r="B49" s="8" t="s">
        <v>155</v>
      </c>
      <c r="C49" s="8" t="s">
        <v>156</v>
      </c>
      <c r="D49" s="17">
        <f>(D50*2/(D35/1000))^0.5</f>
        <v>28.087784407107122</v>
      </c>
      <c r="E49" s="7" t="s">
        <v>91</v>
      </c>
      <c r="F49" s="90"/>
      <c r="G49" s="91"/>
      <c r="H49" s="92"/>
    </row>
    <row r="50" spans="2:8" ht="12.75">
      <c r="B50" s="8" t="s">
        <v>170</v>
      </c>
      <c r="C50" s="8" t="s">
        <v>148</v>
      </c>
      <c r="D50" s="17">
        <f>D41*2.718^-(2*G56*D48/F34)</f>
        <v>112.42161768826853</v>
      </c>
      <c r="E50" s="7" t="s">
        <v>108</v>
      </c>
      <c r="F50" s="38" t="s">
        <v>157</v>
      </c>
      <c r="G50" s="34">
        <f>D50/D43</f>
        <v>0.6282839838972748</v>
      </c>
      <c r="H50" s="30" t="s">
        <v>158</v>
      </c>
    </row>
    <row r="51" spans="2:8" ht="12.75">
      <c r="B51" s="8" t="s">
        <v>169</v>
      </c>
      <c r="C51" s="8" t="s">
        <v>151</v>
      </c>
      <c r="D51" s="17">
        <f>(D35*D45^2)/(0.0494*40000*D34^2)</f>
        <v>5.030769230769229</v>
      </c>
      <c r="E51" s="7" t="s">
        <v>154</v>
      </c>
      <c r="F51" s="15"/>
      <c r="G51" s="4"/>
      <c r="H51" s="5"/>
    </row>
    <row r="52" spans="2:8" ht="12.75">
      <c r="B52" s="8" t="s">
        <v>161</v>
      </c>
      <c r="C52" s="8" t="s">
        <v>162</v>
      </c>
      <c r="D52" s="17">
        <f>D35*D45/(D24+D36+D37)</f>
        <v>12.947614068204672</v>
      </c>
      <c r="E52" s="7" t="s">
        <v>91</v>
      </c>
      <c r="F52" s="90"/>
      <c r="G52" s="91"/>
      <c r="H52" s="92"/>
    </row>
    <row r="53" spans="2:8" ht="12.75">
      <c r="B53" s="8" t="s">
        <v>165</v>
      </c>
      <c r="C53" s="8" t="s">
        <v>166</v>
      </c>
      <c r="D53" s="17">
        <f>0.001*D35^1.8*(D49^1.3)/(D34*100)</f>
        <v>3.339198414289562</v>
      </c>
      <c r="E53" s="7" t="s">
        <v>2</v>
      </c>
      <c r="F53" s="74" t="s">
        <v>146</v>
      </c>
      <c r="G53" s="75">
        <v>0.0002</v>
      </c>
      <c r="H53" s="76" t="s">
        <v>150</v>
      </c>
    </row>
    <row r="54" spans="2:8" ht="12.75">
      <c r="B54" s="8" t="s">
        <v>167</v>
      </c>
      <c r="C54" s="8" t="s">
        <v>168</v>
      </c>
      <c r="D54" s="17">
        <f>0.07*D35^1.3/D34*((D49-10)/25)</f>
        <v>13.112650078544501</v>
      </c>
      <c r="E54" s="7" t="s">
        <v>2</v>
      </c>
      <c r="F54" s="74" t="s">
        <v>146</v>
      </c>
      <c r="G54" s="75">
        <v>0.00022</v>
      </c>
      <c r="H54" s="76" t="s">
        <v>149</v>
      </c>
    </row>
    <row r="55" spans="2:8" ht="12.75">
      <c r="B55" s="8"/>
      <c r="C55" s="8"/>
      <c r="D55" s="17"/>
      <c r="E55" s="7"/>
      <c r="F55" s="42"/>
      <c r="G55" s="43"/>
      <c r="H55" s="44"/>
    </row>
    <row r="56" spans="2:8" ht="12.75">
      <c r="B56" s="8"/>
      <c r="C56" s="8"/>
      <c r="D56" s="17"/>
      <c r="E56" s="7"/>
      <c r="F56" s="42" t="s">
        <v>145</v>
      </c>
      <c r="G56" s="43">
        <v>2E-05</v>
      </c>
      <c r="H56" s="44"/>
    </row>
    <row r="59" ht="12.75">
      <c r="C59" s="2"/>
    </row>
  </sheetData>
  <mergeCells count="43">
    <mergeCell ref="F20:H20"/>
    <mergeCell ref="F21:H21"/>
    <mergeCell ref="F10:H10"/>
    <mergeCell ref="B10:E10"/>
    <mergeCell ref="B9:H9"/>
    <mergeCell ref="F12:H12"/>
    <mergeCell ref="F13:H13"/>
    <mergeCell ref="F14:H14"/>
    <mergeCell ref="C7:E7"/>
    <mergeCell ref="B28:E28"/>
    <mergeCell ref="F28:H28"/>
    <mergeCell ref="F15:H15"/>
    <mergeCell ref="F17:H17"/>
    <mergeCell ref="F18:H18"/>
    <mergeCell ref="F19:H19"/>
    <mergeCell ref="F16:H16"/>
    <mergeCell ref="F23:H23"/>
    <mergeCell ref="F24:H24"/>
    <mergeCell ref="B29:E29"/>
    <mergeCell ref="F29:H29"/>
    <mergeCell ref="F39:H39"/>
    <mergeCell ref="F38:H38"/>
    <mergeCell ref="F35:H35"/>
    <mergeCell ref="F36:H36"/>
    <mergeCell ref="B39:E39"/>
    <mergeCell ref="F40:H40"/>
    <mergeCell ref="F45:H45"/>
    <mergeCell ref="F44:H44"/>
    <mergeCell ref="F22:H22"/>
    <mergeCell ref="B47:E47"/>
    <mergeCell ref="F47:H47"/>
    <mergeCell ref="F48:H48"/>
    <mergeCell ref="F49:H49"/>
    <mergeCell ref="F52:H52"/>
    <mergeCell ref="F25:H25"/>
    <mergeCell ref="F26:H26"/>
    <mergeCell ref="F27:H27"/>
    <mergeCell ref="F41:H41"/>
    <mergeCell ref="F37:H37"/>
    <mergeCell ref="F30:H30"/>
    <mergeCell ref="F31:H31"/>
    <mergeCell ref="F32:H32"/>
    <mergeCell ref="F33:H33"/>
  </mergeCells>
  <printOptions/>
  <pageMargins left="0.49" right="0.75" top="0.56" bottom="1" header="0.5" footer="0.5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11">
    <pageSetUpPr fitToPage="1"/>
  </sheetPr>
  <dimension ref="B2:J56"/>
  <sheetViews>
    <sheetView workbookViewId="0" topLeftCell="A34">
      <selection activeCell="D11" sqref="D11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24.7109375" style="0" customWidth="1"/>
    <col min="4" max="4" width="10.57421875" style="0" bestFit="1" customWidth="1"/>
    <col min="8" max="8" width="17.00390625" style="0" customWidth="1"/>
  </cols>
  <sheetData>
    <row r="1" ht="10.5" customHeight="1"/>
    <row r="2" ht="9.75" customHeight="1">
      <c r="D2" s="24"/>
    </row>
    <row r="3" spans="3:4" ht="9.75" customHeight="1">
      <c r="C3" s="23"/>
      <c r="D3" s="23"/>
    </row>
    <row r="5" spans="3:4" ht="12.75">
      <c r="C5" s="1" t="s">
        <v>126</v>
      </c>
      <c r="D5" s="1" t="s">
        <v>128</v>
      </c>
    </row>
    <row r="7" spans="3:5" ht="12.75">
      <c r="C7" s="102"/>
      <c r="D7" s="102"/>
      <c r="E7" s="102"/>
    </row>
    <row r="8" spans="2:8" s="6" customFormat="1" ht="15" customHeight="1">
      <c r="B8" s="2"/>
      <c r="C8" s="2"/>
      <c r="D8" s="9"/>
      <c r="E8" s="9"/>
      <c r="F8" s="10"/>
      <c r="G8" s="11"/>
      <c r="H8" s="11"/>
    </row>
    <row r="9" spans="2:8" s="6" customFormat="1" ht="15" customHeight="1">
      <c r="B9" s="99"/>
      <c r="C9" s="100"/>
      <c r="D9" s="100"/>
      <c r="E9" s="100"/>
      <c r="F9" s="100"/>
      <c r="G9" s="100"/>
      <c r="H9" s="101"/>
    </row>
    <row r="10" spans="2:8" s="6" customFormat="1" ht="15" customHeight="1">
      <c r="B10" s="99"/>
      <c r="C10" s="100"/>
      <c r="D10" s="100"/>
      <c r="E10" s="100"/>
      <c r="F10" s="99" t="s">
        <v>47</v>
      </c>
      <c r="G10" s="100"/>
      <c r="H10" s="101"/>
    </row>
    <row r="11" spans="2:8" s="6" customFormat="1" ht="15" customHeight="1">
      <c r="B11" s="65" t="s">
        <v>6</v>
      </c>
      <c r="C11" s="65" t="s">
        <v>7</v>
      </c>
      <c r="D11" s="50">
        <v>150</v>
      </c>
      <c r="E11" s="50"/>
      <c r="F11" s="66" t="s">
        <v>194</v>
      </c>
      <c r="G11" s="53">
        <v>100</v>
      </c>
      <c r="H11" s="62"/>
    </row>
    <row r="12" spans="2:8" s="6" customFormat="1" ht="15" customHeight="1">
      <c r="B12" s="65" t="s">
        <v>8</v>
      </c>
      <c r="C12" s="65" t="s">
        <v>9</v>
      </c>
      <c r="D12" s="48">
        <v>68</v>
      </c>
      <c r="E12" s="50"/>
      <c r="F12" s="96" t="s">
        <v>63</v>
      </c>
      <c r="G12" s="97"/>
      <c r="H12" s="98"/>
    </row>
    <row r="13" spans="2:8" s="6" customFormat="1" ht="15" customHeight="1">
      <c r="B13" s="65" t="s">
        <v>24</v>
      </c>
      <c r="C13" s="65" t="s">
        <v>25</v>
      </c>
      <c r="D13" s="48">
        <v>25</v>
      </c>
      <c r="E13" s="50"/>
      <c r="F13" s="96"/>
      <c r="G13" s="97"/>
      <c r="H13" s="98"/>
    </row>
    <row r="14" spans="2:8" s="6" customFormat="1" ht="15" customHeight="1">
      <c r="B14" s="65" t="s">
        <v>26</v>
      </c>
      <c r="C14" s="65" t="s">
        <v>27</v>
      </c>
      <c r="D14" s="48">
        <v>140</v>
      </c>
      <c r="E14" s="50"/>
      <c r="F14" s="96"/>
      <c r="G14" s="97"/>
      <c r="H14" s="98"/>
    </row>
    <row r="15" spans="2:8" s="6" customFormat="1" ht="15" customHeight="1">
      <c r="B15" s="65" t="s">
        <v>64</v>
      </c>
      <c r="C15" s="65" t="s">
        <v>65</v>
      </c>
      <c r="D15" s="48">
        <v>7</v>
      </c>
      <c r="E15" s="50"/>
      <c r="F15" s="96" t="s">
        <v>66</v>
      </c>
      <c r="G15" s="97"/>
      <c r="H15" s="98"/>
    </row>
    <row r="16" spans="2:8" s="6" customFormat="1" ht="15" customHeight="1">
      <c r="B16" s="65" t="s">
        <v>67</v>
      </c>
      <c r="C16" s="65" t="s">
        <v>68</v>
      </c>
      <c r="D16" s="48">
        <v>7.5</v>
      </c>
      <c r="E16" s="50"/>
      <c r="F16" s="96" t="s">
        <v>69</v>
      </c>
      <c r="G16" s="97"/>
      <c r="H16" s="98"/>
    </row>
    <row r="17" spans="2:8" s="6" customFormat="1" ht="15" customHeight="1">
      <c r="B17" s="65" t="s">
        <v>175</v>
      </c>
      <c r="C17" s="65" t="s">
        <v>31</v>
      </c>
      <c r="D17" s="48">
        <v>115</v>
      </c>
      <c r="E17" s="48"/>
      <c r="F17" s="96" t="s">
        <v>56</v>
      </c>
      <c r="G17" s="97"/>
      <c r="H17" s="98"/>
    </row>
    <row r="18" spans="2:8" s="6" customFormat="1" ht="15" customHeight="1">
      <c r="B18" s="65" t="s">
        <v>174</v>
      </c>
      <c r="C18" s="65" t="s">
        <v>55</v>
      </c>
      <c r="D18" s="48">
        <v>115</v>
      </c>
      <c r="E18" s="48"/>
      <c r="F18" s="96" t="s">
        <v>57</v>
      </c>
      <c r="G18" s="97"/>
      <c r="H18" s="98"/>
    </row>
    <row r="19" spans="2:8" s="6" customFormat="1" ht="15" customHeight="1">
      <c r="B19" s="65" t="s">
        <v>173</v>
      </c>
      <c r="C19" s="65" t="s">
        <v>33</v>
      </c>
      <c r="D19" s="48">
        <v>147</v>
      </c>
      <c r="E19" s="48"/>
      <c r="F19" s="96" t="s">
        <v>58</v>
      </c>
      <c r="G19" s="97"/>
      <c r="H19" s="98"/>
    </row>
    <row r="20" spans="2:8" s="6" customFormat="1" ht="15" customHeight="1">
      <c r="B20" s="65" t="s">
        <v>34</v>
      </c>
      <c r="C20" s="65" t="s">
        <v>35</v>
      </c>
      <c r="D20" s="48">
        <v>310</v>
      </c>
      <c r="E20" s="48"/>
      <c r="F20" s="96" t="s">
        <v>59</v>
      </c>
      <c r="G20" s="97"/>
      <c r="H20" s="98"/>
    </row>
    <row r="21" spans="2:8" s="6" customFormat="1" ht="15" customHeight="1">
      <c r="B21" s="65" t="s">
        <v>34</v>
      </c>
      <c r="C21" s="65" t="s">
        <v>35</v>
      </c>
      <c r="D21" s="48">
        <v>278</v>
      </c>
      <c r="E21" s="48"/>
      <c r="F21" s="96" t="s">
        <v>133</v>
      </c>
      <c r="G21" s="97"/>
      <c r="H21" s="98"/>
    </row>
    <row r="22" spans="2:8" s="6" customFormat="1" ht="15" customHeight="1">
      <c r="B22" s="65" t="s">
        <v>34</v>
      </c>
      <c r="C22" s="65" t="s">
        <v>35</v>
      </c>
      <c r="D22" s="48">
        <v>363</v>
      </c>
      <c r="E22" s="48"/>
      <c r="F22" s="96" t="s">
        <v>134</v>
      </c>
      <c r="G22" s="97"/>
      <c r="H22" s="98"/>
    </row>
    <row r="23" spans="2:8" s="6" customFormat="1" ht="15" customHeight="1">
      <c r="B23" s="65" t="s">
        <v>34</v>
      </c>
      <c r="C23" s="65" t="s">
        <v>35</v>
      </c>
      <c r="D23" s="48">
        <v>326</v>
      </c>
      <c r="E23" s="48"/>
      <c r="F23" s="96" t="s">
        <v>135</v>
      </c>
      <c r="G23" s="97"/>
      <c r="H23" s="98"/>
    </row>
    <row r="24" spans="2:8" s="6" customFormat="1" ht="15" customHeight="1">
      <c r="B24" s="65" t="s">
        <v>176</v>
      </c>
      <c r="C24" s="65" t="s">
        <v>70</v>
      </c>
      <c r="D24" s="48">
        <v>22</v>
      </c>
      <c r="E24" s="48"/>
      <c r="F24" s="96" t="s">
        <v>66</v>
      </c>
      <c r="G24" s="97"/>
      <c r="H24" s="98"/>
    </row>
    <row r="25" spans="2:9" s="6" customFormat="1" ht="15" customHeight="1">
      <c r="B25" s="65" t="s">
        <v>177</v>
      </c>
      <c r="C25" s="65" t="s">
        <v>71</v>
      </c>
      <c r="D25" s="48">
        <v>25</v>
      </c>
      <c r="E25" s="48"/>
      <c r="F25" s="96" t="s">
        <v>69</v>
      </c>
      <c r="G25" s="97"/>
      <c r="H25" s="98"/>
      <c r="I25" s="22"/>
    </row>
    <row r="26" spans="2:10" s="6" customFormat="1" ht="15" customHeight="1">
      <c r="B26" s="65" t="s">
        <v>21</v>
      </c>
      <c r="C26" s="65" t="s">
        <v>22</v>
      </c>
      <c r="D26" s="48">
        <f>900-D27</f>
        <v>695</v>
      </c>
      <c r="E26" s="48"/>
      <c r="F26" s="96" t="s">
        <v>62</v>
      </c>
      <c r="G26" s="97"/>
      <c r="H26" s="98"/>
      <c r="J26" s="33"/>
    </row>
    <row r="27" spans="2:9" s="6" customFormat="1" ht="15" customHeight="1">
      <c r="B27" s="65" t="s">
        <v>72</v>
      </c>
      <c r="C27" s="65" t="s">
        <v>73</v>
      </c>
      <c r="D27" s="48">
        <v>205</v>
      </c>
      <c r="E27" s="48"/>
      <c r="F27" s="96" t="s">
        <v>74</v>
      </c>
      <c r="G27" s="97"/>
      <c r="H27" s="98"/>
      <c r="I27" s="22"/>
    </row>
    <row r="28" spans="2:8" ht="12.75">
      <c r="B28" s="87"/>
      <c r="C28" s="88"/>
      <c r="D28" s="88"/>
      <c r="E28" s="88"/>
      <c r="F28" s="87" t="s">
        <v>47</v>
      </c>
      <c r="G28" s="88"/>
      <c r="H28" s="89"/>
    </row>
    <row r="29" spans="2:8" ht="12.75">
      <c r="B29" s="87"/>
      <c r="C29" s="88"/>
      <c r="D29" s="88"/>
      <c r="E29" s="88"/>
      <c r="F29" s="87"/>
      <c r="G29" s="88"/>
      <c r="H29" s="89"/>
    </row>
    <row r="30" spans="2:8" ht="12.75">
      <c r="B30" s="65" t="s">
        <v>8</v>
      </c>
      <c r="C30" s="65" t="s">
        <v>9</v>
      </c>
      <c r="D30" s="48">
        <f>G11-D31-D33</f>
        <v>69</v>
      </c>
      <c r="E30" s="50"/>
      <c r="F30" s="96"/>
      <c r="G30" s="97"/>
      <c r="H30" s="98"/>
    </row>
    <row r="31" spans="2:8" ht="12.75">
      <c r="B31" s="65" t="s">
        <v>24</v>
      </c>
      <c r="C31" s="65" t="s">
        <v>25</v>
      </c>
      <c r="D31" s="48">
        <v>24</v>
      </c>
      <c r="E31" s="50"/>
      <c r="F31" s="96"/>
      <c r="G31" s="97"/>
      <c r="H31" s="98"/>
    </row>
    <row r="32" spans="2:8" ht="12.75">
      <c r="B32" s="65" t="s">
        <v>26</v>
      </c>
      <c r="C32" s="65" t="s">
        <v>27</v>
      </c>
      <c r="D32" s="48">
        <v>140</v>
      </c>
      <c r="E32" s="50"/>
      <c r="F32" s="96"/>
      <c r="G32" s="97"/>
      <c r="H32" s="98"/>
    </row>
    <row r="33" spans="2:8" ht="12.75">
      <c r="B33" s="65" t="s">
        <v>28</v>
      </c>
      <c r="C33" s="65" t="s">
        <v>95</v>
      </c>
      <c r="D33" s="48">
        <v>7</v>
      </c>
      <c r="E33" s="50"/>
      <c r="F33" s="96"/>
      <c r="G33" s="97"/>
      <c r="H33" s="98"/>
    </row>
    <row r="34" spans="2:8" ht="12.75">
      <c r="B34" s="65" t="s">
        <v>159</v>
      </c>
      <c r="C34" s="65" t="s">
        <v>160</v>
      </c>
      <c r="D34" s="48">
        <v>6</v>
      </c>
      <c r="E34" s="48"/>
      <c r="F34" s="67">
        <f>IF(D34=6,G53,G54)</f>
        <v>0.0002</v>
      </c>
      <c r="G34" s="61"/>
      <c r="H34" s="62"/>
    </row>
    <row r="35" spans="2:9" ht="12.75">
      <c r="B35" s="8" t="s">
        <v>34</v>
      </c>
      <c r="C35" s="8" t="s">
        <v>136</v>
      </c>
      <c r="D35" s="38">
        <f>IF($D$34=6,D20,D22)</f>
        <v>310</v>
      </c>
      <c r="E35" s="7"/>
      <c r="F35" s="93" t="s">
        <v>59</v>
      </c>
      <c r="G35" s="94"/>
      <c r="H35" s="95"/>
      <c r="I35" s="46">
        <f>D35+D36+D37</f>
        <v>447</v>
      </c>
    </row>
    <row r="36" spans="2:8" ht="12.75">
      <c r="B36" s="8" t="s">
        <v>178</v>
      </c>
      <c r="C36" s="8" t="s">
        <v>130</v>
      </c>
      <c r="D36" s="48">
        <f>D18</f>
        <v>115</v>
      </c>
      <c r="E36" s="7"/>
      <c r="F36" s="93" t="s">
        <v>57</v>
      </c>
      <c r="G36" s="94"/>
      <c r="H36" s="95"/>
    </row>
    <row r="37" spans="2:8" ht="12.75">
      <c r="B37" s="65" t="s">
        <v>172</v>
      </c>
      <c r="C37" s="65" t="s">
        <v>37</v>
      </c>
      <c r="D37" s="48">
        <v>22</v>
      </c>
      <c r="E37" s="48"/>
      <c r="F37" s="96" t="s">
        <v>66</v>
      </c>
      <c r="G37" s="97"/>
      <c r="H37" s="98"/>
    </row>
    <row r="38" spans="2:8" ht="12.75">
      <c r="B38" s="65" t="s">
        <v>99</v>
      </c>
      <c r="C38" s="65" t="s">
        <v>100</v>
      </c>
      <c r="D38" s="52">
        <v>20</v>
      </c>
      <c r="E38" s="50"/>
      <c r="F38" s="96"/>
      <c r="G38" s="97"/>
      <c r="H38" s="98"/>
    </row>
    <row r="39" spans="2:8" ht="12.75">
      <c r="B39" s="87"/>
      <c r="C39" s="88"/>
      <c r="D39" s="88"/>
      <c r="E39" s="89"/>
      <c r="F39" s="87" t="s">
        <v>47</v>
      </c>
      <c r="G39" s="88"/>
      <c r="H39" s="89"/>
    </row>
    <row r="40" spans="2:8" ht="12.75">
      <c r="B40" s="8" t="s">
        <v>0</v>
      </c>
      <c r="C40" s="8" t="s">
        <v>98</v>
      </c>
      <c r="D40" s="17">
        <v>60</v>
      </c>
      <c r="E40" s="7"/>
      <c r="F40" s="93"/>
      <c r="G40" s="94"/>
      <c r="H40" s="95"/>
    </row>
    <row r="41" spans="2:8" ht="12.75">
      <c r="B41" s="8" t="s">
        <v>142</v>
      </c>
      <c r="C41" s="8" t="s">
        <v>94</v>
      </c>
      <c r="D41" s="17">
        <f>IF(D38=20,D40*(D30/2)/100*9.81*1.16,D40*(D30/2)/100*9.81*1.1)</f>
        <v>235.55772</v>
      </c>
      <c r="E41" s="7"/>
      <c r="F41" s="103"/>
      <c r="G41" s="94"/>
      <c r="H41" s="95"/>
    </row>
    <row r="42" spans="2:9" ht="12.75">
      <c r="B42" s="8" t="s">
        <v>116</v>
      </c>
      <c r="C42" s="8" t="s">
        <v>118</v>
      </c>
      <c r="D42" s="17">
        <f>0.5*((D36*(D45/2)^2)/1000)+0.5*(D37/1000)*D45^2</f>
        <v>33.13805762993762</v>
      </c>
      <c r="E42" s="7"/>
      <c r="F42" s="38" t="s">
        <v>131</v>
      </c>
      <c r="G42" s="31">
        <f>D42/D41</f>
        <v>0.14067914067914064</v>
      </c>
      <c r="H42" s="30" t="s">
        <v>132</v>
      </c>
      <c r="I42" s="28"/>
    </row>
    <row r="43" spans="2:8" ht="12.75">
      <c r="B43" s="8" t="s">
        <v>120</v>
      </c>
      <c r="C43" s="8" t="s">
        <v>121</v>
      </c>
      <c r="D43" s="17">
        <f>D41-D42</f>
        <v>202.41966237006238</v>
      </c>
      <c r="E43" s="7"/>
      <c r="F43" s="18"/>
      <c r="G43" s="4"/>
      <c r="H43" s="5"/>
    </row>
    <row r="44" spans="2:8" ht="12.75">
      <c r="B44" s="8" t="s">
        <v>96</v>
      </c>
      <c r="C44" s="8" t="s">
        <v>97</v>
      </c>
      <c r="D44" s="27">
        <f>1-(D42/D41)</f>
        <v>0.8593208593208593</v>
      </c>
      <c r="E44" s="7"/>
      <c r="F44" s="93"/>
      <c r="G44" s="94"/>
      <c r="H44" s="95"/>
    </row>
    <row r="45" spans="2:8" ht="12.75">
      <c r="B45" s="8" t="s">
        <v>89</v>
      </c>
      <c r="C45" s="8" t="s">
        <v>90</v>
      </c>
      <c r="D45" s="55">
        <f>(D41/((D35/2)+(D36/8)+(D37/2))*1000)^0.5</f>
        <v>36.13769922965912</v>
      </c>
      <c r="E45" s="7"/>
      <c r="F45" s="93"/>
      <c r="G45" s="94"/>
      <c r="H45" s="95"/>
    </row>
    <row r="46" spans="2:8" ht="12.75">
      <c r="B46" s="8" t="s">
        <v>123</v>
      </c>
      <c r="C46" s="8" t="s">
        <v>125</v>
      </c>
      <c r="D46" s="17">
        <f>(D43/D30*10)*D45*9.81/1000</f>
        <v>10.399994551068684</v>
      </c>
      <c r="E46" s="7"/>
      <c r="F46" s="18"/>
      <c r="G46" s="4"/>
      <c r="H46" s="5"/>
    </row>
    <row r="47" spans="2:8" ht="12.75">
      <c r="B47" s="87"/>
      <c r="C47" s="88"/>
      <c r="D47" s="88"/>
      <c r="E47" s="88"/>
      <c r="F47" s="87" t="s">
        <v>47</v>
      </c>
      <c r="G47" s="88"/>
      <c r="H47" s="89"/>
    </row>
    <row r="48" spans="2:8" ht="12.75">
      <c r="B48" s="8"/>
      <c r="C48" s="47" t="s">
        <v>153</v>
      </c>
      <c r="D48" s="51">
        <v>3</v>
      </c>
      <c r="E48" s="7"/>
      <c r="F48" s="90"/>
      <c r="G48" s="91"/>
      <c r="H48" s="92"/>
    </row>
    <row r="49" spans="2:8" ht="12.75">
      <c r="B49" s="8" t="s">
        <v>155</v>
      </c>
      <c r="C49" s="8" t="s">
        <v>156</v>
      </c>
      <c r="D49" s="17">
        <f>(D50*2/(D35/1000))^0.5</f>
        <v>28.88071801688844</v>
      </c>
      <c r="E49" s="7"/>
      <c r="F49" s="90"/>
      <c r="G49" s="91"/>
      <c r="H49" s="92"/>
    </row>
    <row r="50" spans="2:8" ht="12.75">
      <c r="B50" s="8"/>
      <c r="C50" s="8" t="s">
        <v>148</v>
      </c>
      <c r="D50" s="17">
        <f>D41*2.718^-(2*G56*D48/F34)</f>
        <v>129.28486034150882</v>
      </c>
      <c r="E50" s="7"/>
      <c r="F50" s="38" t="s">
        <v>157</v>
      </c>
      <c r="G50" s="34">
        <f>D50/D43</f>
        <v>0.6386971444757724</v>
      </c>
      <c r="H50" s="30" t="s">
        <v>158</v>
      </c>
    </row>
    <row r="51" spans="2:8" ht="12.75">
      <c r="B51" s="8"/>
      <c r="C51" s="8" t="s">
        <v>151</v>
      </c>
      <c r="D51" s="17">
        <f>(D35*D45^2)/(0.0494*40000*D34^2)</f>
        <v>5.691061132761536</v>
      </c>
      <c r="E51" s="7"/>
      <c r="F51" s="15"/>
      <c r="G51" s="4"/>
      <c r="H51" s="5"/>
    </row>
    <row r="52" spans="2:8" ht="12.75">
      <c r="B52" s="8" t="s">
        <v>161</v>
      </c>
      <c r="C52" s="8" t="s">
        <v>162</v>
      </c>
      <c r="D52" s="17">
        <f>D35*D45/(D26+D36+D37)</f>
        <v>13.464767741820104</v>
      </c>
      <c r="E52" s="7"/>
      <c r="F52" s="90"/>
      <c r="G52" s="91"/>
      <c r="H52" s="92"/>
    </row>
    <row r="53" spans="2:8" ht="12.75">
      <c r="B53" s="8" t="s">
        <v>165</v>
      </c>
      <c r="C53" s="8" t="s">
        <v>166</v>
      </c>
      <c r="D53" s="17">
        <f>0.001*D35^1.8*(D49^1.3)/(D34*100)</f>
        <v>4.028006666115917</v>
      </c>
      <c r="E53" s="7"/>
      <c r="F53" s="39" t="s">
        <v>146</v>
      </c>
      <c r="G53" s="35">
        <v>0.0002</v>
      </c>
      <c r="H53" s="36" t="s">
        <v>150</v>
      </c>
    </row>
    <row r="54" spans="2:8" ht="12.75">
      <c r="B54" s="8" t="s">
        <v>167</v>
      </c>
      <c r="C54" s="8" t="s">
        <v>168</v>
      </c>
      <c r="D54" s="17">
        <f>0.07*D35^1.3/D34*((D49-10)/25)</f>
        <v>15.26846890825517</v>
      </c>
      <c r="E54" s="7"/>
      <c r="F54" s="37" t="s">
        <v>146</v>
      </c>
      <c r="G54" s="40">
        <v>0.00022</v>
      </c>
      <c r="H54" s="41" t="s">
        <v>149</v>
      </c>
    </row>
    <row r="55" spans="6:8" ht="12.75">
      <c r="F55" s="37"/>
      <c r="G55" s="40"/>
      <c r="H55" s="41"/>
    </row>
    <row r="56" spans="6:8" ht="12.75">
      <c r="F56" s="42" t="s">
        <v>145</v>
      </c>
      <c r="G56" s="43">
        <v>2E-05</v>
      </c>
      <c r="H56" s="44"/>
    </row>
  </sheetData>
  <mergeCells count="43">
    <mergeCell ref="F24:H24"/>
    <mergeCell ref="F26:H26"/>
    <mergeCell ref="F41:H41"/>
    <mergeCell ref="F37:H37"/>
    <mergeCell ref="F27:H27"/>
    <mergeCell ref="F25:H25"/>
    <mergeCell ref="F22:H22"/>
    <mergeCell ref="F23:H23"/>
    <mergeCell ref="F20:H20"/>
    <mergeCell ref="B10:E10"/>
    <mergeCell ref="F10:H10"/>
    <mergeCell ref="F19:H19"/>
    <mergeCell ref="F15:H15"/>
    <mergeCell ref="F17:H17"/>
    <mergeCell ref="B29:E29"/>
    <mergeCell ref="F29:H29"/>
    <mergeCell ref="F39:H39"/>
    <mergeCell ref="F38:H38"/>
    <mergeCell ref="F30:H30"/>
    <mergeCell ref="F31:H31"/>
    <mergeCell ref="F32:H32"/>
    <mergeCell ref="F33:H33"/>
    <mergeCell ref="F35:H35"/>
    <mergeCell ref="C7:E7"/>
    <mergeCell ref="B28:E28"/>
    <mergeCell ref="F28:H28"/>
    <mergeCell ref="F16:H16"/>
    <mergeCell ref="F12:H12"/>
    <mergeCell ref="F13:H13"/>
    <mergeCell ref="F14:H14"/>
    <mergeCell ref="F18:H18"/>
    <mergeCell ref="B9:H9"/>
    <mergeCell ref="F21:H21"/>
    <mergeCell ref="F52:H52"/>
    <mergeCell ref="F36:H36"/>
    <mergeCell ref="B47:E47"/>
    <mergeCell ref="F47:H47"/>
    <mergeCell ref="F48:H48"/>
    <mergeCell ref="F49:H49"/>
    <mergeCell ref="B39:E39"/>
    <mergeCell ref="F40:H40"/>
    <mergeCell ref="F45:H45"/>
    <mergeCell ref="F44:H44"/>
  </mergeCells>
  <printOptions/>
  <pageMargins left="0.49" right="0.75" top="0.56" bottom="1" header="0.5" footer="0.5"/>
  <pageSetup fitToHeight="1" fitToWidth="1" horizontalDpi="300" verticalDpi="300" orientation="portrait" paperSize="9" r:id="rId2"/>
  <rowBreaks count="1" manualBreakCount="1">
    <brk id="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1111">
    <pageSetUpPr fitToPage="1"/>
  </sheetPr>
  <dimension ref="B2:I56"/>
  <sheetViews>
    <sheetView workbookViewId="0" topLeftCell="A19">
      <selection activeCell="F48" sqref="F48:H48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24.7109375" style="0" customWidth="1"/>
    <col min="4" max="4" width="10.57421875" style="0" bestFit="1" customWidth="1"/>
    <col min="8" max="8" width="17.00390625" style="0" customWidth="1"/>
  </cols>
  <sheetData>
    <row r="1" ht="10.5" customHeight="1"/>
    <row r="2" ht="9.75" customHeight="1">
      <c r="D2" s="24"/>
    </row>
    <row r="3" spans="3:4" ht="9.75" customHeight="1">
      <c r="C3" s="23"/>
      <c r="D3" s="23"/>
    </row>
    <row r="5" spans="3:4" ht="12.75">
      <c r="C5" s="1" t="s">
        <v>126</v>
      </c>
      <c r="D5" s="1" t="s">
        <v>128</v>
      </c>
    </row>
    <row r="7" spans="3:5" ht="12.75">
      <c r="C7" s="102" t="s">
        <v>127</v>
      </c>
      <c r="D7" s="102"/>
      <c r="E7" s="102"/>
    </row>
    <row r="8" spans="2:8" s="6" customFormat="1" ht="15" customHeight="1">
      <c r="B8"/>
      <c r="C8"/>
      <c r="D8"/>
      <c r="E8"/>
      <c r="F8"/>
      <c r="G8"/>
      <c r="H8"/>
    </row>
    <row r="9" spans="2:8" s="6" customFormat="1" ht="15" customHeight="1">
      <c r="B9" s="99" t="s">
        <v>38</v>
      </c>
      <c r="C9" s="100"/>
      <c r="D9" s="100"/>
      <c r="E9" s="100"/>
      <c r="F9" s="100"/>
      <c r="G9" s="100"/>
      <c r="H9" s="100"/>
    </row>
    <row r="10" spans="2:8" s="6" customFormat="1" ht="15" customHeight="1">
      <c r="B10" s="99" t="s">
        <v>82</v>
      </c>
      <c r="C10" s="100"/>
      <c r="D10" s="100"/>
      <c r="E10" s="100"/>
      <c r="F10" s="99" t="s">
        <v>47</v>
      </c>
      <c r="G10" s="100"/>
      <c r="H10" s="101"/>
    </row>
    <row r="11" spans="2:8" s="6" customFormat="1" ht="15" customHeight="1">
      <c r="B11" s="65" t="s">
        <v>6</v>
      </c>
      <c r="C11" s="65" t="s">
        <v>7</v>
      </c>
      <c r="D11" s="50">
        <v>170</v>
      </c>
      <c r="E11" s="50" t="s">
        <v>2</v>
      </c>
      <c r="F11" s="66" t="s">
        <v>194</v>
      </c>
      <c r="G11" s="53">
        <v>120</v>
      </c>
      <c r="H11" s="62"/>
    </row>
    <row r="12" spans="2:9" s="6" customFormat="1" ht="15" customHeight="1">
      <c r="B12" s="65" t="s">
        <v>8</v>
      </c>
      <c r="C12" s="65" t="s">
        <v>9</v>
      </c>
      <c r="D12" s="48">
        <v>80</v>
      </c>
      <c r="E12" s="50" t="s">
        <v>2</v>
      </c>
      <c r="F12" s="96" t="s">
        <v>63</v>
      </c>
      <c r="G12" s="97"/>
      <c r="H12" s="98"/>
      <c r="I12" s="16"/>
    </row>
    <row r="13" spans="2:9" s="6" customFormat="1" ht="15" customHeight="1">
      <c r="B13" s="65" t="s">
        <v>24</v>
      </c>
      <c r="C13" s="65" t="s">
        <v>25</v>
      </c>
      <c r="D13" s="48">
        <v>30</v>
      </c>
      <c r="E13" s="50" t="s">
        <v>2</v>
      </c>
      <c r="F13" s="96"/>
      <c r="G13" s="97"/>
      <c r="H13" s="98"/>
      <c r="I13" s="16"/>
    </row>
    <row r="14" spans="2:9" s="6" customFormat="1" ht="15" customHeight="1">
      <c r="B14" s="65" t="s">
        <v>26</v>
      </c>
      <c r="C14" s="65" t="s">
        <v>27</v>
      </c>
      <c r="D14" s="48">
        <v>160</v>
      </c>
      <c r="E14" s="50" t="s">
        <v>2</v>
      </c>
      <c r="F14" s="96"/>
      <c r="G14" s="97"/>
      <c r="H14" s="98"/>
      <c r="I14" s="16"/>
    </row>
    <row r="15" spans="2:9" s="6" customFormat="1" ht="15" customHeight="1">
      <c r="B15" s="65" t="s">
        <v>64</v>
      </c>
      <c r="C15" s="65" t="s">
        <v>65</v>
      </c>
      <c r="D15" s="48">
        <v>8</v>
      </c>
      <c r="E15" s="50" t="s">
        <v>2</v>
      </c>
      <c r="F15" s="96" t="s">
        <v>75</v>
      </c>
      <c r="G15" s="97"/>
      <c r="H15" s="98"/>
      <c r="I15" s="16"/>
    </row>
    <row r="16" spans="2:9" s="6" customFormat="1" ht="15" customHeight="1">
      <c r="B16" s="65" t="s">
        <v>67</v>
      </c>
      <c r="C16" s="65" t="s">
        <v>68</v>
      </c>
      <c r="D16" s="48">
        <v>7</v>
      </c>
      <c r="E16" s="50" t="s">
        <v>2</v>
      </c>
      <c r="F16" s="96" t="s">
        <v>76</v>
      </c>
      <c r="G16" s="97"/>
      <c r="H16" s="98"/>
      <c r="I16" s="16"/>
    </row>
    <row r="17" spans="2:8" s="6" customFormat="1" ht="15" customHeight="1">
      <c r="B17" s="65" t="s">
        <v>175</v>
      </c>
      <c r="C17" s="65" t="s">
        <v>31</v>
      </c>
      <c r="D17" s="48">
        <v>130</v>
      </c>
      <c r="E17" s="48" t="s">
        <v>4</v>
      </c>
      <c r="F17" s="96" t="s">
        <v>164</v>
      </c>
      <c r="G17" s="97"/>
      <c r="H17" s="98"/>
    </row>
    <row r="18" spans="2:8" s="6" customFormat="1" ht="15" customHeight="1">
      <c r="B18" s="65" t="s">
        <v>173</v>
      </c>
      <c r="C18" s="65" t="s">
        <v>33</v>
      </c>
      <c r="D18" s="48">
        <v>210</v>
      </c>
      <c r="E18" s="48" t="s">
        <v>4</v>
      </c>
      <c r="F18" s="96" t="s">
        <v>77</v>
      </c>
      <c r="G18" s="97"/>
      <c r="H18" s="98"/>
    </row>
    <row r="19" spans="2:8" s="6" customFormat="1" ht="15" customHeight="1">
      <c r="B19" s="65" t="s">
        <v>34</v>
      </c>
      <c r="C19" s="65" t="s">
        <v>35</v>
      </c>
      <c r="D19" s="48">
        <v>355</v>
      </c>
      <c r="E19" s="48" t="s">
        <v>4</v>
      </c>
      <c r="F19" s="96" t="s">
        <v>59</v>
      </c>
      <c r="G19" s="97"/>
      <c r="H19" s="98"/>
    </row>
    <row r="20" spans="2:8" s="6" customFormat="1" ht="15" customHeight="1">
      <c r="B20" s="65" t="s">
        <v>34</v>
      </c>
      <c r="C20" s="65" t="s">
        <v>35</v>
      </c>
      <c r="D20" s="48">
        <v>317</v>
      </c>
      <c r="E20" s="48" t="s">
        <v>4</v>
      </c>
      <c r="F20" s="96" t="s">
        <v>133</v>
      </c>
      <c r="G20" s="97"/>
      <c r="H20" s="98"/>
    </row>
    <row r="21" spans="2:8" s="6" customFormat="1" ht="15" customHeight="1">
      <c r="B21" s="65" t="s">
        <v>34</v>
      </c>
      <c r="C21" s="65" t="s">
        <v>35</v>
      </c>
      <c r="D21" s="48">
        <v>415</v>
      </c>
      <c r="E21" s="48" t="s">
        <v>4</v>
      </c>
      <c r="F21" s="96" t="s">
        <v>134</v>
      </c>
      <c r="G21" s="97"/>
      <c r="H21" s="98"/>
    </row>
    <row r="22" spans="2:8" s="6" customFormat="1" ht="15" customHeight="1">
      <c r="B22" s="65" t="s">
        <v>34</v>
      </c>
      <c r="C22" s="65" t="s">
        <v>35</v>
      </c>
      <c r="D22" s="48">
        <v>372</v>
      </c>
      <c r="E22" s="48" t="s">
        <v>4</v>
      </c>
      <c r="F22" s="96" t="s">
        <v>135</v>
      </c>
      <c r="G22" s="97"/>
      <c r="H22" s="98"/>
    </row>
    <row r="23" spans="2:8" s="6" customFormat="1" ht="15" customHeight="1">
      <c r="B23" s="65" t="s">
        <v>176</v>
      </c>
      <c r="C23" s="65" t="s">
        <v>70</v>
      </c>
      <c r="D23" s="48">
        <v>45</v>
      </c>
      <c r="E23" s="48" t="s">
        <v>4</v>
      </c>
      <c r="F23" s="96" t="s">
        <v>75</v>
      </c>
      <c r="G23" s="97"/>
      <c r="H23" s="98"/>
    </row>
    <row r="24" spans="2:8" s="6" customFormat="1" ht="15" customHeight="1">
      <c r="B24" s="65" t="s">
        <v>177</v>
      </c>
      <c r="C24" s="65" t="s">
        <v>71</v>
      </c>
      <c r="D24" s="48">
        <v>42</v>
      </c>
      <c r="E24" s="48" t="s">
        <v>4</v>
      </c>
      <c r="F24" s="96" t="s">
        <v>76</v>
      </c>
      <c r="G24" s="97"/>
      <c r="H24" s="98"/>
    </row>
    <row r="25" spans="2:8" s="6" customFormat="1" ht="15" customHeight="1">
      <c r="B25" s="65" t="s">
        <v>21</v>
      </c>
      <c r="C25" s="65" t="s">
        <v>22</v>
      </c>
      <c r="D25" s="48">
        <f>1350-D26</f>
        <v>1145</v>
      </c>
      <c r="E25" s="48" t="s">
        <v>4</v>
      </c>
      <c r="F25" s="96" t="s">
        <v>62</v>
      </c>
      <c r="G25" s="97"/>
      <c r="H25" s="98"/>
    </row>
    <row r="26" spans="2:8" s="6" customFormat="1" ht="15" customHeight="1">
      <c r="B26" s="65" t="s">
        <v>72</v>
      </c>
      <c r="C26" s="65" t="s">
        <v>73</v>
      </c>
      <c r="D26" s="48">
        <v>205</v>
      </c>
      <c r="E26" s="48" t="s">
        <v>4</v>
      </c>
      <c r="F26" s="96" t="s">
        <v>74</v>
      </c>
      <c r="G26" s="97"/>
      <c r="H26" s="98"/>
    </row>
    <row r="27" spans="2:8" s="6" customFormat="1" ht="15" customHeight="1">
      <c r="B27" s="68"/>
      <c r="C27" s="69"/>
      <c r="D27" s="53"/>
      <c r="E27" s="53"/>
      <c r="F27" s="66"/>
      <c r="G27" s="61"/>
      <c r="H27" s="62"/>
    </row>
    <row r="28" spans="2:8" ht="12.75">
      <c r="B28" s="87" t="s">
        <v>83</v>
      </c>
      <c r="C28" s="88"/>
      <c r="D28" s="88"/>
      <c r="E28" s="88"/>
      <c r="F28" s="87" t="s">
        <v>47</v>
      </c>
      <c r="G28" s="88"/>
      <c r="H28" s="89"/>
    </row>
    <row r="29" spans="2:8" ht="12.75">
      <c r="B29" s="87" t="s">
        <v>84</v>
      </c>
      <c r="C29" s="88"/>
      <c r="D29" s="88"/>
      <c r="E29" s="88"/>
      <c r="F29" s="87"/>
      <c r="G29" s="88"/>
      <c r="H29" s="89"/>
    </row>
    <row r="30" spans="2:8" ht="12.75">
      <c r="B30" s="65" t="s">
        <v>8</v>
      </c>
      <c r="C30" s="65" t="s">
        <v>9</v>
      </c>
      <c r="D30" s="48">
        <f>G11-D31-D33</f>
        <v>82</v>
      </c>
      <c r="E30" s="50" t="s">
        <v>2</v>
      </c>
      <c r="F30" s="96"/>
      <c r="G30" s="97"/>
      <c r="H30" s="98"/>
    </row>
    <row r="31" spans="2:8" ht="12.75">
      <c r="B31" s="65" t="s">
        <v>24</v>
      </c>
      <c r="C31" s="65" t="s">
        <v>25</v>
      </c>
      <c r="D31" s="48">
        <v>30</v>
      </c>
      <c r="E31" s="50" t="s">
        <v>2</v>
      </c>
      <c r="F31" s="96"/>
      <c r="G31" s="97"/>
      <c r="H31" s="98"/>
    </row>
    <row r="32" spans="2:8" ht="12.75">
      <c r="B32" s="65" t="s">
        <v>26</v>
      </c>
      <c r="C32" s="65" t="s">
        <v>27</v>
      </c>
      <c r="D32" s="48">
        <v>160</v>
      </c>
      <c r="E32" s="50" t="s">
        <v>2</v>
      </c>
      <c r="F32" s="96"/>
      <c r="G32" s="97"/>
      <c r="H32" s="98"/>
    </row>
    <row r="33" spans="2:8" ht="12.75">
      <c r="B33" s="65" t="s">
        <v>28</v>
      </c>
      <c r="C33" s="65" t="s">
        <v>95</v>
      </c>
      <c r="D33" s="48">
        <v>8</v>
      </c>
      <c r="E33" s="50" t="s">
        <v>2</v>
      </c>
      <c r="F33" s="96"/>
      <c r="G33" s="97"/>
      <c r="H33" s="98"/>
    </row>
    <row r="34" spans="2:8" ht="12.75">
      <c r="B34" s="65" t="s">
        <v>159</v>
      </c>
      <c r="C34" s="65" t="s">
        <v>160</v>
      </c>
      <c r="D34" s="48">
        <v>6</v>
      </c>
      <c r="E34" s="48" t="s">
        <v>3</v>
      </c>
      <c r="F34" s="67">
        <f>IF(D34=6,G53,G54)</f>
        <v>0.0002</v>
      </c>
      <c r="G34" s="61"/>
      <c r="H34" s="62"/>
    </row>
    <row r="35" spans="2:9" ht="12.75">
      <c r="B35" s="49" t="s">
        <v>34</v>
      </c>
      <c r="C35" s="49" t="s">
        <v>35</v>
      </c>
      <c r="D35" s="70">
        <f>IF($D$34=6,D20,D22)</f>
        <v>317</v>
      </c>
      <c r="E35" s="71" t="s">
        <v>4</v>
      </c>
      <c r="F35" s="104"/>
      <c r="G35" s="105"/>
      <c r="H35" s="106"/>
      <c r="I35" s="46">
        <f>D35+D36+D37</f>
        <v>469</v>
      </c>
    </row>
    <row r="36" spans="2:8" ht="12.75">
      <c r="B36" s="8" t="s">
        <v>178</v>
      </c>
      <c r="C36" s="8" t="s">
        <v>130</v>
      </c>
      <c r="D36" s="48">
        <f>D17</f>
        <v>130</v>
      </c>
      <c r="E36" s="7" t="s">
        <v>4</v>
      </c>
      <c r="F36" s="93" t="s">
        <v>164</v>
      </c>
      <c r="G36" s="94"/>
      <c r="H36" s="95"/>
    </row>
    <row r="37" spans="2:8" ht="12.75">
      <c r="B37" s="65" t="s">
        <v>172</v>
      </c>
      <c r="C37" s="65" t="s">
        <v>37</v>
      </c>
      <c r="D37" s="48">
        <v>22</v>
      </c>
      <c r="E37" s="48" t="s">
        <v>4</v>
      </c>
      <c r="F37" s="96" t="s">
        <v>66</v>
      </c>
      <c r="G37" s="97"/>
      <c r="H37" s="98"/>
    </row>
    <row r="38" spans="2:8" ht="12.75">
      <c r="B38" s="65" t="s">
        <v>99</v>
      </c>
      <c r="C38" s="65" t="s">
        <v>100</v>
      </c>
      <c r="D38" s="52">
        <v>20</v>
      </c>
      <c r="E38" s="50" t="s">
        <v>3</v>
      </c>
      <c r="F38" s="96"/>
      <c r="G38" s="97"/>
      <c r="H38" s="98"/>
    </row>
    <row r="39" spans="2:8" ht="12.75">
      <c r="B39" s="87" t="s">
        <v>86</v>
      </c>
      <c r="C39" s="88"/>
      <c r="D39" s="88"/>
      <c r="E39" s="89"/>
      <c r="F39" s="87" t="s">
        <v>47</v>
      </c>
      <c r="G39" s="88"/>
      <c r="H39" s="89"/>
    </row>
    <row r="40" spans="2:8" ht="12.75">
      <c r="B40" s="8" t="s">
        <v>0</v>
      </c>
      <c r="C40" s="8" t="s">
        <v>98</v>
      </c>
      <c r="D40" s="17">
        <v>57</v>
      </c>
      <c r="E40" s="7" t="s">
        <v>1</v>
      </c>
      <c r="F40" s="93"/>
      <c r="G40" s="94"/>
      <c r="H40" s="95"/>
    </row>
    <row r="41" spans="2:8" ht="12.75">
      <c r="B41" s="8" t="s">
        <v>147</v>
      </c>
      <c r="C41" s="8" t="s">
        <v>94</v>
      </c>
      <c r="D41" s="17">
        <f>IF(D38=20,D40*(D30/2)/100*9.81*1.16,D40*(D30/2)/100*9.81*1.1)</f>
        <v>265.941252</v>
      </c>
      <c r="E41" s="7" t="s">
        <v>108</v>
      </c>
      <c r="F41" s="103"/>
      <c r="G41" s="107"/>
      <c r="H41" s="95"/>
    </row>
    <row r="42" spans="2:8" ht="12.75">
      <c r="B42" s="8" t="s">
        <v>116</v>
      </c>
      <c r="C42" s="49" t="s">
        <v>118</v>
      </c>
      <c r="D42" s="17">
        <f>0.5*((D36*(D45/2)^2)/1000)+0.5*(D37/1000)*D45^2</f>
        <v>39.01426173351279</v>
      </c>
      <c r="E42" s="7" t="s">
        <v>108</v>
      </c>
      <c r="F42" s="18" t="s">
        <v>131</v>
      </c>
      <c r="G42" s="31">
        <f>D42/D41</f>
        <v>0.14670255720053835</v>
      </c>
      <c r="H42" s="30" t="s">
        <v>132</v>
      </c>
    </row>
    <row r="43" spans="2:8" ht="12.75">
      <c r="B43" s="8" t="s">
        <v>120</v>
      </c>
      <c r="C43" s="8" t="s">
        <v>121</v>
      </c>
      <c r="D43" s="17">
        <f>D41-D42</f>
        <v>226.92699026648722</v>
      </c>
      <c r="E43" s="7" t="s">
        <v>108</v>
      </c>
      <c r="F43" s="18"/>
      <c r="G43" s="29"/>
      <c r="H43" s="5"/>
    </row>
    <row r="44" spans="2:8" ht="12.75">
      <c r="B44" s="8" t="s">
        <v>96</v>
      </c>
      <c r="C44" s="8" t="s">
        <v>97</v>
      </c>
      <c r="D44" s="27">
        <f>1-(D42/D41)</f>
        <v>0.8532974427994616</v>
      </c>
      <c r="E44" s="7"/>
      <c r="F44" s="93"/>
      <c r="G44" s="94"/>
      <c r="H44" s="95"/>
    </row>
    <row r="45" spans="2:8" ht="12.75">
      <c r="B45" s="8" t="s">
        <v>89</v>
      </c>
      <c r="C45" s="8" t="s">
        <v>90</v>
      </c>
      <c r="D45" s="55">
        <f>(D41/((D35/2)+(D36/8)+(D37/2))*1000)^0.5</f>
        <v>37.83802355987824</v>
      </c>
      <c r="E45" s="7" t="s">
        <v>91</v>
      </c>
      <c r="F45" s="93"/>
      <c r="G45" s="94"/>
      <c r="H45" s="95"/>
    </row>
    <row r="46" spans="2:8" ht="12.75">
      <c r="B46" s="8" t="s">
        <v>123</v>
      </c>
      <c r="C46" s="8" t="s">
        <v>125</v>
      </c>
      <c r="D46" s="17">
        <f>(D43/D30*10)*D45*9.81/1000</f>
        <v>10.27234865463191</v>
      </c>
      <c r="E46" s="7" t="s">
        <v>124</v>
      </c>
      <c r="F46" s="18"/>
      <c r="G46" s="4"/>
      <c r="H46" s="5"/>
    </row>
    <row r="47" spans="2:8" ht="12.75">
      <c r="B47" s="87" t="s">
        <v>152</v>
      </c>
      <c r="C47" s="88"/>
      <c r="D47" s="88"/>
      <c r="E47" s="88"/>
      <c r="F47" s="87" t="s">
        <v>47</v>
      </c>
      <c r="G47" s="88"/>
      <c r="H47" s="89"/>
    </row>
    <row r="48" spans="2:8" ht="12.75">
      <c r="B48" s="8"/>
      <c r="C48" s="47" t="s">
        <v>153</v>
      </c>
      <c r="D48" s="51">
        <v>3</v>
      </c>
      <c r="E48" s="7" t="s">
        <v>154</v>
      </c>
      <c r="F48" s="90"/>
      <c r="G48" s="91"/>
      <c r="H48" s="92"/>
    </row>
    <row r="49" spans="2:8" ht="12.75">
      <c r="B49" s="8" t="s">
        <v>155</v>
      </c>
      <c r="C49" s="8" t="s">
        <v>156</v>
      </c>
      <c r="D49" s="17">
        <f>(D50*2/(D35/1000))^0.5</f>
        <v>30.34613499854223</v>
      </c>
      <c r="E49" s="7" t="s">
        <v>91</v>
      </c>
      <c r="F49" s="90"/>
      <c r="G49" s="91"/>
      <c r="H49" s="92"/>
    </row>
    <row r="50" spans="2:8" ht="12.75">
      <c r="B50" s="8"/>
      <c r="C50" s="8" t="s">
        <v>148</v>
      </c>
      <c r="D50" s="17">
        <f>D41*2.718^-(2*G56*D48/F34)</f>
        <v>145.9607336319353</v>
      </c>
      <c r="E50" s="7" t="s">
        <v>108</v>
      </c>
      <c r="F50" s="38" t="s">
        <v>157</v>
      </c>
      <c r="G50" s="34">
        <f>D50/D43</f>
        <v>0.6432057000382776</v>
      </c>
      <c r="H50" s="30" t="s">
        <v>158</v>
      </c>
    </row>
    <row r="51" spans="2:8" ht="12.75">
      <c r="B51" s="8"/>
      <c r="C51" s="8" t="s">
        <v>151</v>
      </c>
      <c r="D51" s="17">
        <f>(D35*D45^2)/(0.0494*40000*D34^2)</f>
        <v>6.380088570245368</v>
      </c>
      <c r="E51" s="48" t="s">
        <v>154</v>
      </c>
      <c r="F51" s="15"/>
      <c r="G51" s="4"/>
      <c r="H51" s="5"/>
    </row>
    <row r="52" spans="2:8" ht="12.75">
      <c r="B52" s="8" t="s">
        <v>161</v>
      </c>
      <c r="C52" s="8" t="s">
        <v>162</v>
      </c>
      <c r="D52" s="17">
        <f>D35*D45/(D25+D36+D37)</f>
        <v>9.247998048173788</v>
      </c>
      <c r="E52" s="7" t="s">
        <v>91</v>
      </c>
      <c r="F52" s="90"/>
      <c r="G52" s="91"/>
      <c r="H52" s="92"/>
    </row>
    <row r="53" spans="2:8" ht="12.75">
      <c r="B53" s="8" t="s">
        <v>165</v>
      </c>
      <c r="C53" s="8" t="s">
        <v>166</v>
      </c>
      <c r="D53" s="17">
        <f>0.001*D35^1.8*(D49^1.3)/(D34*100)</f>
        <v>4.471876722906782</v>
      </c>
      <c r="E53" s="7" t="s">
        <v>2</v>
      </c>
      <c r="F53" s="74" t="s">
        <v>146</v>
      </c>
      <c r="G53" s="75">
        <v>0.0002</v>
      </c>
      <c r="H53" s="76" t="s">
        <v>150</v>
      </c>
    </row>
    <row r="54" spans="2:8" ht="12.75">
      <c r="B54" s="8" t="s">
        <v>167</v>
      </c>
      <c r="C54" s="8" t="s">
        <v>168</v>
      </c>
      <c r="D54" s="17">
        <f>0.07*D35^1.3/D34*((D49-10)/25)</f>
        <v>16.938140992511872</v>
      </c>
      <c r="E54" s="7" t="s">
        <v>2</v>
      </c>
      <c r="F54" s="74" t="s">
        <v>146</v>
      </c>
      <c r="G54" s="75">
        <v>0.00022</v>
      </c>
      <c r="H54" s="76" t="s">
        <v>149</v>
      </c>
    </row>
    <row r="55" spans="6:8" ht="12.75">
      <c r="F55" s="37"/>
      <c r="G55" s="40"/>
      <c r="H55" s="41"/>
    </row>
    <row r="56" spans="6:8" ht="12.75">
      <c r="F56" s="42" t="s">
        <v>145</v>
      </c>
      <c r="G56" s="43">
        <v>2E-05</v>
      </c>
      <c r="H56" s="44"/>
    </row>
  </sheetData>
  <mergeCells count="42">
    <mergeCell ref="B9:H9"/>
    <mergeCell ref="F19:H19"/>
    <mergeCell ref="F13:H13"/>
    <mergeCell ref="F14:H14"/>
    <mergeCell ref="F12:H12"/>
    <mergeCell ref="B10:E10"/>
    <mergeCell ref="F10:H10"/>
    <mergeCell ref="F22:H22"/>
    <mergeCell ref="F15:H15"/>
    <mergeCell ref="F16:H16"/>
    <mergeCell ref="F41:H41"/>
    <mergeCell ref="F37:H37"/>
    <mergeCell ref="F20:H20"/>
    <mergeCell ref="B29:E29"/>
    <mergeCell ref="F29:H29"/>
    <mergeCell ref="F39:H39"/>
    <mergeCell ref="F38:H38"/>
    <mergeCell ref="F30:H30"/>
    <mergeCell ref="F31:H31"/>
    <mergeCell ref="F32:H32"/>
    <mergeCell ref="F33:H33"/>
    <mergeCell ref="F35:H35"/>
    <mergeCell ref="B28:E28"/>
    <mergeCell ref="F28:H28"/>
    <mergeCell ref="C7:E7"/>
    <mergeCell ref="F24:H24"/>
    <mergeCell ref="F25:H25"/>
    <mergeCell ref="F26:H26"/>
    <mergeCell ref="F17:H17"/>
    <mergeCell ref="F18:H18"/>
    <mergeCell ref="F23:H23"/>
    <mergeCell ref="F21:H21"/>
    <mergeCell ref="F52:H52"/>
    <mergeCell ref="F36:H36"/>
    <mergeCell ref="B47:E47"/>
    <mergeCell ref="F47:H47"/>
    <mergeCell ref="F48:H48"/>
    <mergeCell ref="F49:H49"/>
    <mergeCell ref="B39:E39"/>
    <mergeCell ref="F40:H40"/>
    <mergeCell ref="F45:H45"/>
    <mergeCell ref="F44:H44"/>
  </mergeCells>
  <printOptions/>
  <pageMargins left="0.49" right="0.75" top="0.56" bottom="1" header="0.5" footer="0.5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111">
    <pageSetUpPr fitToPage="1"/>
  </sheetPr>
  <dimension ref="B2:J56"/>
  <sheetViews>
    <sheetView workbookViewId="0" topLeftCell="A34">
      <selection activeCell="D52" sqref="D52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24.7109375" style="0" customWidth="1"/>
    <col min="4" max="4" width="10.57421875" style="0" bestFit="1" customWidth="1"/>
    <col min="8" max="8" width="17.00390625" style="0" customWidth="1"/>
  </cols>
  <sheetData>
    <row r="1" ht="10.5" customHeight="1"/>
    <row r="2" ht="9.75" customHeight="1">
      <c r="D2" s="24"/>
    </row>
    <row r="3" spans="3:4" ht="9.75" customHeight="1">
      <c r="C3" s="23"/>
      <c r="D3" s="23"/>
    </row>
    <row r="5" spans="3:4" ht="12.75">
      <c r="C5" s="1" t="s">
        <v>126</v>
      </c>
      <c r="D5" s="1" t="s">
        <v>128</v>
      </c>
    </row>
    <row r="7" spans="3:5" ht="12.75">
      <c r="C7" s="102" t="s">
        <v>127</v>
      </c>
      <c r="D7" s="102"/>
      <c r="E7" s="102"/>
    </row>
    <row r="8" spans="2:8" s="6" customFormat="1" ht="15" customHeight="1">
      <c r="B8" s="2"/>
      <c r="C8" s="2"/>
      <c r="D8" s="9"/>
      <c r="E8" s="9"/>
      <c r="F8" s="10"/>
      <c r="G8" s="11"/>
      <c r="H8" s="11"/>
    </row>
    <row r="9" spans="2:8" s="6" customFormat="1" ht="15" customHeight="1">
      <c r="B9" s="99" t="s">
        <v>195</v>
      </c>
      <c r="C9" s="100"/>
      <c r="D9" s="100"/>
      <c r="E9" s="100"/>
      <c r="F9" s="100"/>
      <c r="G9" s="100"/>
      <c r="H9" s="101"/>
    </row>
    <row r="10" spans="2:8" s="6" customFormat="1" ht="15" customHeight="1">
      <c r="B10" s="99" t="s">
        <v>82</v>
      </c>
      <c r="C10" s="100"/>
      <c r="D10" s="100"/>
      <c r="E10" s="100"/>
      <c r="F10" s="99" t="s">
        <v>47</v>
      </c>
      <c r="G10" s="100"/>
      <c r="H10" s="101"/>
    </row>
    <row r="11" spans="2:8" s="6" customFormat="1" ht="15" customHeight="1">
      <c r="B11" s="65" t="s">
        <v>6</v>
      </c>
      <c r="C11" s="65" t="s">
        <v>7</v>
      </c>
      <c r="D11" s="50">
        <v>150</v>
      </c>
      <c r="E11" s="50" t="s">
        <v>2</v>
      </c>
      <c r="F11" s="66" t="s">
        <v>194</v>
      </c>
      <c r="G11" s="53">
        <v>100</v>
      </c>
      <c r="H11" s="62"/>
    </row>
    <row r="12" spans="2:8" s="6" customFormat="1" ht="15" customHeight="1">
      <c r="B12" s="65" t="s">
        <v>8</v>
      </c>
      <c r="C12" s="65" t="s">
        <v>9</v>
      </c>
      <c r="D12" s="48">
        <v>64</v>
      </c>
      <c r="E12" s="50" t="s">
        <v>2</v>
      </c>
      <c r="F12" s="96" t="s">
        <v>180</v>
      </c>
      <c r="G12" s="97"/>
      <c r="H12" s="98"/>
    </row>
    <row r="13" spans="2:8" s="6" customFormat="1" ht="15" customHeight="1">
      <c r="B13" s="65" t="s">
        <v>24</v>
      </c>
      <c r="C13" s="65" t="s">
        <v>25</v>
      </c>
      <c r="D13" s="48">
        <v>25</v>
      </c>
      <c r="E13" s="50" t="s">
        <v>2</v>
      </c>
      <c r="F13" s="96" t="s">
        <v>179</v>
      </c>
      <c r="G13" s="97"/>
      <c r="H13" s="98"/>
    </row>
    <row r="14" spans="2:8" s="6" customFormat="1" ht="15" customHeight="1">
      <c r="B14" s="65" t="s">
        <v>26</v>
      </c>
      <c r="C14" s="65" t="s">
        <v>27</v>
      </c>
      <c r="D14" s="48">
        <v>140</v>
      </c>
      <c r="E14" s="50" t="s">
        <v>2</v>
      </c>
      <c r="F14" s="96"/>
      <c r="G14" s="97"/>
      <c r="H14" s="98"/>
    </row>
    <row r="15" spans="2:8" s="6" customFormat="1" ht="15" customHeight="1">
      <c r="B15" s="65" t="s">
        <v>64</v>
      </c>
      <c r="C15" s="65" t="s">
        <v>65</v>
      </c>
      <c r="D15" s="48">
        <v>7</v>
      </c>
      <c r="E15" s="50" t="s">
        <v>2</v>
      </c>
      <c r="F15" s="96" t="s">
        <v>66</v>
      </c>
      <c r="G15" s="97"/>
      <c r="H15" s="98"/>
    </row>
    <row r="16" spans="2:8" s="6" customFormat="1" ht="15" customHeight="1">
      <c r="B16" s="65" t="s">
        <v>67</v>
      </c>
      <c r="C16" s="65" t="s">
        <v>68</v>
      </c>
      <c r="D16" s="48">
        <v>7.5</v>
      </c>
      <c r="E16" s="50" t="s">
        <v>2</v>
      </c>
      <c r="F16" s="96" t="s">
        <v>69</v>
      </c>
      <c r="G16" s="97"/>
      <c r="H16" s="98"/>
    </row>
    <row r="17" spans="2:8" s="6" customFormat="1" ht="15" customHeight="1">
      <c r="B17" s="65" t="s">
        <v>175</v>
      </c>
      <c r="C17" s="65" t="s">
        <v>31</v>
      </c>
      <c r="D17" s="48">
        <v>115</v>
      </c>
      <c r="E17" s="48" t="s">
        <v>4</v>
      </c>
      <c r="F17" s="96" t="s">
        <v>56</v>
      </c>
      <c r="G17" s="97"/>
      <c r="H17" s="98"/>
    </row>
    <row r="18" spans="2:8" s="6" customFormat="1" ht="15" customHeight="1">
      <c r="B18" s="65" t="s">
        <v>174</v>
      </c>
      <c r="C18" s="65" t="s">
        <v>55</v>
      </c>
      <c r="D18" s="48">
        <v>115</v>
      </c>
      <c r="E18" s="48" t="s">
        <v>4</v>
      </c>
      <c r="F18" s="96" t="s">
        <v>57</v>
      </c>
      <c r="G18" s="97"/>
      <c r="H18" s="98"/>
    </row>
    <row r="19" spans="2:8" s="6" customFormat="1" ht="15" customHeight="1">
      <c r="B19" s="65" t="s">
        <v>173</v>
      </c>
      <c r="C19" s="65" t="s">
        <v>33</v>
      </c>
      <c r="D19" s="48">
        <v>147</v>
      </c>
      <c r="E19" s="48" t="s">
        <v>4</v>
      </c>
      <c r="F19" s="96" t="s">
        <v>58</v>
      </c>
      <c r="G19" s="97"/>
      <c r="H19" s="98"/>
    </row>
    <row r="20" spans="2:8" s="6" customFormat="1" ht="15" customHeight="1">
      <c r="B20" s="65" t="s">
        <v>34</v>
      </c>
      <c r="C20" s="65" t="s">
        <v>35</v>
      </c>
      <c r="D20" s="48">
        <v>310</v>
      </c>
      <c r="E20" s="48" t="s">
        <v>4</v>
      </c>
      <c r="F20" s="96" t="s">
        <v>59</v>
      </c>
      <c r="G20" s="97"/>
      <c r="H20" s="98"/>
    </row>
    <row r="21" spans="2:8" s="6" customFormat="1" ht="15" customHeight="1">
      <c r="B21" s="65" t="s">
        <v>34</v>
      </c>
      <c r="C21" s="65" t="s">
        <v>35</v>
      </c>
      <c r="D21" s="48">
        <v>278</v>
      </c>
      <c r="E21" s="48" t="s">
        <v>4</v>
      </c>
      <c r="F21" s="96" t="s">
        <v>133</v>
      </c>
      <c r="G21" s="97"/>
      <c r="H21" s="98"/>
    </row>
    <row r="22" spans="2:8" s="6" customFormat="1" ht="15" customHeight="1">
      <c r="B22" s="65" t="s">
        <v>34</v>
      </c>
      <c r="C22" s="65" t="s">
        <v>35</v>
      </c>
      <c r="D22" s="48">
        <v>363</v>
      </c>
      <c r="E22" s="48" t="s">
        <v>4</v>
      </c>
      <c r="F22" s="96" t="s">
        <v>134</v>
      </c>
      <c r="G22" s="97"/>
      <c r="H22" s="98"/>
    </row>
    <row r="23" spans="2:8" s="6" customFormat="1" ht="15" customHeight="1">
      <c r="B23" s="65" t="s">
        <v>34</v>
      </c>
      <c r="C23" s="65" t="s">
        <v>35</v>
      </c>
      <c r="D23" s="48">
        <v>326</v>
      </c>
      <c r="E23" s="48" t="s">
        <v>4</v>
      </c>
      <c r="F23" s="96" t="s">
        <v>135</v>
      </c>
      <c r="G23" s="97"/>
      <c r="H23" s="98"/>
    </row>
    <row r="24" spans="2:8" s="6" customFormat="1" ht="15" customHeight="1">
      <c r="B24" s="65" t="s">
        <v>176</v>
      </c>
      <c r="C24" s="65" t="s">
        <v>70</v>
      </c>
      <c r="D24" s="48">
        <v>22</v>
      </c>
      <c r="E24" s="48" t="s">
        <v>4</v>
      </c>
      <c r="F24" s="96" t="s">
        <v>66</v>
      </c>
      <c r="G24" s="97"/>
      <c r="H24" s="98"/>
    </row>
    <row r="25" spans="2:9" s="6" customFormat="1" ht="15" customHeight="1">
      <c r="B25" s="65" t="s">
        <v>177</v>
      </c>
      <c r="C25" s="65" t="s">
        <v>71</v>
      </c>
      <c r="D25" s="48">
        <v>25</v>
      </c>
      <c r="E25" s="48" t="s">
        <v>4</v>
      </c>
      <c r="F25" s="96" t="s">
        <v>69</v>
      </c>
      <c r="G25" s="97"/>
      <c r="H25" s="98"/>
      <c r="I25" s="22"/>
    </row>
    <row r="26" spans="2:10" s="6" customFormat="1" ht="15" customHeight="1">
      <c r="B26" s="65" t="s">
        <v>21</v>
      </c>
      <c r="C26" s="65" t="s">
        <v>22</v>
      </c>
      <c r="D26" s="48">
        <f>900-D27</f>
        <v>695</v>
      </c>
      <c r="E26" s="48" t="s">
        <v>4</v>
      </c>
      <c r="F26" s="96" t="s">
        <v>62</v>
      </c>
      <c r="G26" s="97"/>
      <c r="H26" s="98"/>
      <c r="J26" s="33"/>
    </row>
    <row r="27" spans="2:9" s="6" customFormat="1" ht="15" customHeight="1">
      <c r="B27" s="65" t="s">
        <v>72</v>
      </c>
      <c r="C27" s="65" t="s">
        <v>73</v>
      </c>
      <c r="D27" s="48">
        <v>205</v>
      </c>
      <c r="E27" s="48" t="s">
        <v>4</v>
      </c>
      <c r="F27" s="96" t="s">
        <v>74</v>
      </c>
      <c r="G27" s="97"/>
      <c r="H27" s="98"/>
      <c r="I27" s="22"/>
    </row>
    <row r="28" spans="2:8" ht="12.75">
      <c r="B28" s="87" t="s">
        <v>83</v>
      </c>
      <c r="C28" s="88"/>
      <c r="D28" s="88"/>
      <c r="E28" s="88"/>
      <c r="F28" s="87" t="s">
        <v>47</v>
      </c>
      <c r="G28" s="88"/>
      <c r="H28" s="89"/>
    </row>
    <row r="29" spans="2:8" ht="12.75">
      <c r="B29" s="87" t="s">
        <v>84</v>
      </c>
      <c r="C29" s="88"/>
      <c r="D29" s="88"/>
      <c r="E29" s="88"/>
      <c r="F29" s="87"/>
      <c r="G29" s="88"/>
      <c r="H29" s="89"/>
    </row>
    <row r="30" spans="2:8" ht="12.75">
      <c r="B30" s="65" t="s">
        <v>8</v>
      </c>
      <c r="C30" s="65" t="s">
        <v>9</v>
      </c>
      <c r="D30" s="48">
        <f>G11-D31-D33-4</f>
        <v>64</v>
      </c>
      <c r="E30" s="50" t="s">
        <v>2</v>
      </c>
      <c r="F30" s="96"/>
      <c r="G30" s="97"/>
      <c r="H30" s="98"/>
    </row>
    <row r="31" spans="2:8" ht="12.75">
      <c r="B31" s="65" t="s">
        <v>24</v>
      </c>
      <c r="C31" s="65" t="s">
        <v>25</v>
      </c>
      <c r="D31" s="48">
        <v>25</v>
      </c>
      <c r="E31" s="50" t="s">
        <v>2</v>
      </c>
      <c r="F31" s="96"/>
      <c r="G31" s="97"/>
      <c r="H31" s="98"/>
    </row>
    <row r="32" spans="2:8" ht="12.75">
      <c r="B32" s="65" t="s">
        <v>26</v>
      </c>
      <c r="C32" s="65" t="s">
        <v>27</v>
      </c>
      <c r="D32" s="48">
        <v>140</v>
      </c>
      <c r="E32" s="50" t="s">
        <v>2</v>
      </c>
      <c r="F32" s="96"/>
      <c r="G32" s="97"/>
      <c r="H32" s="98"/>
    </row>
    <row r="33" spans="2:8" ht="12.75">
      <c r="B33" s="65" t="s">
        <v>28</v>
      </c>
      <c r="C33" s="65" t="s">
        <v>95</v>
      </c>
      <c r="D33" s="48">
        <v>7</v>
      </c>
      <c r="E33" s="50" t="s">
        <v>2</v>
      </c>
      <c r="F33" s="96"/>
      <c r="G33" s="97"/>
      <c r="H33" s="98"/>
    </row>
    <row r="34" spans="2:8" ht="12.75">
      <c r="B34" s="65" t="s">
        <v>159</v>
      </c>
      <c r="C34" s="65" t="s">
        <v>160</v>
      </c>
      <c r="D34" s="48">
        <v>6.5</v>
      </c>
      <c r="E34" s="48" t="s">
        <v>3</v>
      </c>
      <c r="F34" s="67">
        <f>IF(D34=6,G53,G54)</f>
        <v>0.00022</v>
      </c>
      <c r="G34" s="61"/>
      <c r="H34" s="62"/>
    </row>
    <row r="35" spans="2:9" ht="12.75">
      <c r="B35" s="8" t="s">
        <v>34</v>
      </c>
      <c r="C35" s="8" t="s">
        <v>136</v>
      </c>
      <c r="D35" s="38">
        <f>IF($D$34=6,D20,D22)</f>
        <v>363</v>
      </c>
      <c r="E35" s="7" t="s">
        <v>4</v>
      </c>
      <c r="F35" s="93" t="s">
        <v>134</v>
      </c>
      <c r="G35" s="94"/>
      <c r="H35" s="95"/>
      <c r="I35" s="46">
        <f>D35+D36+D37</f>
        <v>637</v>
      </c>
    </row>
    <row r="36" spans="2:8" ht="12.75">
      <c r="B36" s="8" t="s">
        <v>178</v>
      </c>
      <c r="C36" s="8" t="s">
        <v>130</v>
      </c>
      <c r="D36" s="48">
        <f>D17*2</f>
        <v>230</v>
      </c>
      <c r="E36" s="7" t="s">
        <v>4</v>
      </c>
      <c r="F36" s="93" t="s">
        <v>181</v>
      </c>
      <c r="G36" s="94"/>
      <c r="H36" s="95"/>
    </row>
    <row r="37" spans="2:8" ht="12.75">
      <c r="B37" s="8" t="s">
        <v>172</v>
      </c>
      <c r="C37" s="8" t="s">
        <v>182</v>
      </c>
      <c r="D37" s="48">
        <f>22*2</f>
        <v>44</v>
      </c>
      <c r="E37" s="7" t="s">
        <v>4</v>
      </c>
      <c r="F37" s="93" t="s">
        <v>183</v>
      </c>
      <c r="G37" s="94"/>
      <c r="H37" s="95"/>
    </row>
    <row r="38" spans="2:8" ht="12.75">
      <c r="B38" s="65" t="s">
        <v>99</v>
      </c>
      <c r="C38" s="65" t="s">
        <v>100</v>
      </c>
      <c r="D38" s="52">
        <v>16</v>
      </c>
      <c r="E38" s="50" t="s">
        <v>3</v>
      </c>
      <c r="F38" s="96"/>
      <c r="G38" s="97"/>
      <c r="H38" s="98"/>
    </row>
    <row r="39" spans="2:8" ht="12.75">
      <c r="B39" s="87" t="s">
        <v>86</v>
      </c>
      <c r="C39" s="88"/>
      <c r="D39" s="88"/>
      <c r="E39" s="89"/>
      <c r="F39" s="87" t="s">
        <v>47</v>
      </c>
      <c r="G39" s="88"/>
      <c r="H39" s="89"/>
    </row>
    <row r="40" spans="2:8" ht="12.75">
      <c r="B40" s="8" t="s">
        <v>0</v>
      </c>
      <c r="C40" s="8" t="s">
        <v>98</v>
      </c>
      <c r="D40" s="17">
        <v>110</v>
      </c>
      <c r="E40" s="7" t="s">
        <v>1</v>
      </c>
      <c r="F40" s="93"/>
      <c r="G40" s="94"/>
      <c r="H40" s="95"/>
    </row>
    <row r="41" spans="2:8" ht="12.75">
      <c r="B41" s="8" t="s">
        <v>147</v>
      </c>
      <c r="C41" s="8" t="s">
        <v>94</v>
      </c>
      <c r="D41" s="17">
        <f>IF(D38=20,D40*(D30/2)/100*9.81*1.16,D40*(D30/2)/100*9.81*1.1)</f>
        <v>379.8432000000001</v>
      </c>
      <c r="E41" s="7" t="s">
        <v>108</v>
      </c>
      <c r="F41" s="103"/>
      <c r="G41" s="94"/>
      <c r="H41" s="95"/>
    </row>
    <row r="42" spans="2:9" ht="12.75">
      <c r="B42" s="8" t="s">
        <v>116</v>
      </c>
      <c r="C42" s="8" t="s">
        <v>118</v>
      </c>
      <c r="D42" s="17">
        <f>0.5*((D36*(D45/2)^2)/1000)+0.5*(D37/1000)*D45^2</f>
        <v>83.00125898815932</v>
      </c>
      <c r="E42" s="7" t="s">
        <v>108</v>
      </c>
      <c r="F42" s="38" t="s">
        <v>131</v>
      </c>
      <c r="G42" s="31">
        <f>D42/D41</f>
        <v>0.2185145317545748</v>
      </c>
      <c r="H42" s="30" t="s">
        <v>132</v>
      </c>
      <c r="I42" s="28"/>
    </row>
    <row r="43" spans="2:8" ht="12.75">
      <c r="B43" s="8" t="s">
        <v>120</v>
      </c>
      <c r="C43" s="8" t="s">
        <v>121</v>
      </c>
      <c r="D43" s="17">
        <f>D41-D42</f>
        <v>296.84194101184073</v>
      </c>
      <c r="E43" s="7" t="s">
        <v>108</v>
      </c>
      <c r="F43" s="18"/>
      <c r="G43" s="4"/>
      <c r="H43" s="5"/>
    </row>
    <row r="44" spans="2:8" ht="12.75">
      <c r="B44" s="8" t="s">
        <v>96</v>
      </c>
      <c r="C44" s="8" t="s">
        <v>97</v>
      </c>
      <c r="D44" s="27">
        <f>1-(D42/D41)</f>
        <v>0.7814854682454252</v>
      </c>
      <c r="E44" s="7"/>
      <c r="F44" s="93"/>
      <c r="G44" s="94"/>
      <c r="H44" s="95"/>
    </row>
    <row r="45" spans="2:8" ht="12.75">
      <c r="B45" s="8" t="s">
        <v>89</v>
      </c>
      <c r="C45" s="8" t="s">
        <v>90</v>
      </c>
      <c r="D45" s="55">
        <f>(D41/((D35/2)+(D36/8)+(D37/2))*1000)^0.5</f>
        <v>40.44122634075315</v>
      </c>
      <c r="E45" s="7" t="s">
        <v>91</v>
      </c>
      <c r="F45" s="93"/>
      <c r="G45" s="94"/>
      <c r="H45" s="95"/>
    </row>
    <row r="46" spans="2:8" ht="12.75">
      <c r="B46" s="8" t="s">
        <v>123</v>
      </c>
      <c r="C46" s="8" t="s">
        <v>125</v>
      </c>
      <c r="D46" s="17">
        <f>(D43/D30*10)*D45*9.81/1000</f>
        <v>18.400880833647605</v>
      </c>
      <c r="E46" s="7" t="s">
        <v>124</v>
      </c>
      <c r="F46" s="18"/>
      <c r="G46" s="4"/>
      <c r="H46" s="5"/>
    </row>
    <row r="47" spans="2:8" ht="12.75">
      <c r="B47" s="87" t="s">
        <v>152</v>
      </c>
      <c r="C47" s="88"/>
      <c r="D47" s="88"/>
      <c r="E47" s="88"/>
      <c r="F47" s="87" t="s">
        <v>47</v>
      </c>
      <c r="G47" s="88"/>
      <c r="H47" s="89"/>
    </row>
    <row r="48" spans="2:8" ht="12.75">
      <c r="B48" s="8"/>
      <c r="C48" s="47" t="s">
        <v>153</v>
      </c>
      <c r="D48" s="51">
        <v>3</v>
      </c>
      <c r="E48" s="7" t="s">
        <v>154</v>
      </c>
      <c r="F48" s="90"/>
      <c r="G48" s="91"/>
      <c r="H48" s="92"/>
    </row>
    <row r="49" spans="2:8" ht="12.75">
      <c r="B49" s="8" t="s">
        <v>155</v>
      </c>
      <c r="C49" s="8" t="s">
        <v>156</v>
      </c>
      <c r="D49" s="17">
        <f>(D50*2/(D35/1000))^0.5</f>
        <v>34.828293408547005</v>
      </c>
      <c r="E49" s="7" t="s">
        <v>91</v>
      </c>
      <c r="F49" s="90"/>
      <c r="G49" s="91"/>
      <c r="H49" s="92"/>
    </row>
    <row r="50" spans="2:8" ht="12.75">
      <c r="B50" s="8"/>
      <c r="C50" s="8" t="s">
        <v>148</v>
      </c>
      <c r="D50" s="17">
        <f>D41*2.718^-(2*G56*D48/F34)</f>
        <v>220.1613189479587</v>
      </c>
      <c r="E50" s="7" t="s">
        <v>108</v>
      </c>
      <c r="F50" s="38" t="s">
        <v>157</v>
      </c>
      <c r="G50" s="54">
        <f>D50/D43</f>
        <v>0.7416786125218628</v>
      </c>
      <c r="H50" s="30" t="s">
        <v>158</v>
      </c>
    </row>
    <row r="51" spans="2:8" ht="12.75">
      <c r="B51" s="8"/>
      <c r="C51" s="8" t="s">
        <v>151</v>
      </c>
      <c r="D51" s="17">
        <f>(D35*D45^2)/(0.0494*40000*D34^2)</f>
        <v>7.1111789045310765</v>
      </c>
      <c r="E51" s="7" t="s">
        <v>154</v>
      </c>
      <c r="F51" s="15"/>
      <c r="G51" s="4"/>
      <c r="H51" s="5"/>
    </row>
    <row r="52" spans="2:8" ht="12.75">
      <c r="B52" s="8" t="s">
        <v>161</v>
      </c>
      <c r="C52" s="8" t="s">
        <v>162</v>
      </c>
      <c r="D52" s="17">
        <f>D35*D45/(D26+D36+D37)</f>
        <v>15.149809248393593</v>
      </c>
      <c r="E52" s="7" t="s">
        <v>91</v>
      </c>
      <c r="F52" s="90"/>
      <c r="G52" s="91"/>
      <c r="H52" s="92"/>
    </row>
    <row r="53" spans="2:8" ht="12.75">
      <c r="B53" s="8" t="s">
        <v>165</v>
      </c>
      <c r="C53" s="8" t="s">
        <v>166</v>
      </c>
      <c r="D53" s="17">
        <f>0.001*D35^1.8*(D49^1.3)/(D34*100)</f>
        <v>6.301303840962176</v>
      </c>
      <c r="E53" s="7" t="s">
        <v>2</v>
      </c>
      <c r="F53" s="74" t="s">
        <v>146</v>
      </c>
      <c r="G53" s="75">
        <v>0.0002</v>
      </c>
      <c r="H53" s="76" t="s">
        <v>150</v>
      </c>
    </row>
    <row r="54" spans="2:8" ht="12.75">
      <c r="B54" s="8" t="s">
        <v>167</v>
      </c>
      <c r="C54" s="8" t="s">
        <v>168</v>
      </c>
      <c r="D54" s="17">
        <f>0.07*D35^1.3/D34*((D49-10)/25)</f>
        <v>22.75464981466765</v>
      </c>
      <c r="E54" s="7" t="s">
        <v>2</v>
      </c>
      <c r="F54" s="42" t="s">
        <v>146</v>
      </c>
      <c r="G54" s="43">
        <v>0.00022</v>
      </c>
      <c r="H54" s="44" t="s">
        <v>149</v>
      </c>
    </row>
    <row r="55" spans="6:8" ht="12.75">
      <c r="F55" s="37"/>
      <c r="G55" s="40"/>
      <c r="H55" s="41"/>
    </row>
    <row r="56" spans="6:8" ht="12.75">
      <c r="F56" s="42" t="s">
        <v>145</v>
      </c>
      <c r="G56" s="43">
        <v>2E-05</v>
      </c>
      <c r="H56" s="44"/>
    </row>
  </sheetData>
  <mergeCells count="43">
    <mergeCell ref="F52:H52"/>
    <mergeCell ref="F36:H36"/>
    <mergeCell ref="B47:E47"/>
    <mergeCell ref="F47:H47"/>
    <mergeCell ref="F48:H48"/>
    <mergeCell ref="F49:H49"/>
    <mergeCell ref="B39:E39"/>
    <mergeCell ref="F40:H40"/>
    <mergeCell ref="F45:H45"/>
    <mergeCell ref="F44:H44"/>
    <mergeCell ref="C7:E7"/>
    <mergeCell ref="B28:E28"/>
    <mergeCell ref="F28:H28"/>
    <mergeCell ref="F16:H16"/>
    <mergeCell ref="F12:H12"/>
    <mergeCell ref="F13:H13"/>
    <mergeCell ref="F14:H14"/>
    <mergeCell ref="F18:H18"/>
    <mergeCell ref="B9:H9"/>
    <mergeCell ref="F21:H21"/>
    <mergeCell ref="B29:E29"/>
    <mergeCell ref="F29:H29"/>
    <mergeCell ref="F39:H39"/>
    <mergeCell ref="F38:H38"/>
    <mergeCell ref="F30:H30"/>
    <mergeCell ref="F31:H31"/>
    <mergeCell ref="F32:H32"/>
    <mergeCell ref="F33:H33"/>
    <mergeCell ref="F35:H35"/>
    <mergeCell ref="F22:H22"/>
    <mergeCell ref="F23:H23"/>
    <mergeCell ref="F20:H20"/>
    <mergeCell ref="B10:E10"/>
    <mergeCell ref="F10:H10"/>
    <mergeCell ref="F19:H19"/>
    <mergeCell ref="F15:H15"/>
    <mergeCell ref="F17:H17"/>
    <mergeCell ref="F24:H24"/>
    <mergeCell ref="F26:H26"/>
    <mergeCell ref="F41:H41"/>
    <mergeCell ref="F37:H37"/>
    <mergeCell ref="F27:H27"/>
    <mergeCell ref="F25:H25"/>
  </mergeCells>
  <printOptions/>
  <pageMargins left="0.49" right="0.75" top="0.56" bottom="1" header="0.5" footer="0.5"/>
  <pageSetup fitToHeight="1" fitToWidth="1" horizontalDpi="300" verticalDpi="300" orientation="portrait" paperSize="9" r:id="rId2"/>
  <rowBreaks count="1" manualBreakCount="1">
    <brk id="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1112">
    <pageSetUpPr fitToPage="1"/>
  </sheetPr>
  <dimension ref="B2:O56"/>
  <sheetViews>
    <sheetView workbookViewId="0" topLeftCell="A34">
      <selection activeCell="D48" sqref="D48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24.7109375" style="0" customWidth="1"/>
    <col min="4" max="4" width="10.57421875" style="0" bestFit="1" customWidth="1"/>
    <col min="8" max="8" width="17.00390625" style="0" customWidth="1"/>
  </cols>
  <sheetData>
    <row r="1" ht="10.5" customHeight="1"/>
    <row r="2" ht="9.75" customHeight="1">
      <c r="D2" s="24"/>
    </row>
    <row r="3" spans="3:4" ht="9.75" customHeight="1">
      <c r="C3" s="23"/>
      <c r="D3" s="23"/>
    </row>
    <row r="4" spans="11:15" ht="12.75">
      <c r="K4" s="110" t="s">
        <v>196</v>
      </c>
      <c r="L4" s="110"/>
      <c r="M4" s="110"/>
      <c r="N4" s="110"/>
      <c r="O4" s="110"/>
    </row>
    <row r="5" spans="3:15" ht="12.75">
      <c r="C5" s="1" t="s">
        <v>126</v>
      </c>
      <c r="D5" s="1" t="s">
        <v>128</v>
      </c>
      <c r="K5" s="81"/>
      <c r="L5" s="79" t="s">
        <v>202</v>
      </c>
      <c r="M5" s="79">
        <v>30</v>
      </c>
      <c r="N5" s="80" t="s">
        <v>2</v>
      </c>
      <c r="O5" s="82"/>
    </row>
    <row r="6" spans="11:15" ht="12.75">
      <c r="K6" s="78"/>
      <c r="L6" s="108" t="s">
        <v>198</v>
      </c>
      <c r="M6" s="108"/>
      <c r="N6" s="108"/>
      <c r="O6" s="108"/>
    </row>
    <row r="7" spans="3:15" ht="12.75">
      <c r="C7" s="102"/>
      <c r="D7" s="102"/>
      <c r="E7" s="102"/>
      <c r="K7" s="77" t="s">
        <v>197</v>
      </c>
      <c r="L7" s="109" t="s">
        <v>200</v>
      </c>
      <c r="M7" s="109"/>
      <c r="N7" s="109" t="s">
        <v>201</v>
      </c>
      <c r="O7" s="109"/>
    </row>
    <row r="8" spans="2:15" s="6" customFormat="1" ht="15" customHeight="1">
      <c r="B8" s="2"/>
      <c r="C8" s="2"/>
      <c r="D8" s="9"/>
      <c r="E8" s="9"/>
      <c r="F8" s="10"/>
      <c r="G8" s="11"/>
      <c r="H8" s="11"/>
      <c r="K8" s="77" t="s">
        <v>1</v>
      </c>
      <c r="L8" s="77" t="s">
        <v>2</v>
      </c>
      <c r="M8" s="83" t="s">
        <v>199</v>
      </c>
      <c r="N8" s="77" t="s">
        <v>2</v>
      </c>
      <c r="O8" s="83" t="s">
        <v>199</v>
      </c>
    </row>
    <row r="9" spans="2:15" s="6" customFormat="1" ht="15" customHeight="1">
      <c r="B9" s="99"/>
      <c r="C9" s="100"/>
      <c r="D9" s="100"/>
      <c r="E9" s="100"/>
      <c r="F9" s="100"/>
      <c r="G9" s="100"/>
      <c r="H9" s="101"/>
      <c r="K9" s="7">
        <v>3</v>
      </c>
      <c r="L9" s="7">
        <v>33.5</v>
      </c>
      <c r="M9" s="84">
        <f aca="true" t="shared" si="0" ref="M9:M19">L9/$M$5</f>
        <v>1.1166666666666667</v>
      </c>
      <c r="N9" s="7">
        <v>33</v>
      </c>
      <c r="O9" s="84">
        <f aca="true" t="shared" si="1" ref="O9:O19">N9/$M$5</f>
        <v>1.1</v>
      </c>
    </row>
    <row r="10" spans="2:15" s="6" customFormat="1" ht="15" customHeight="1">
      <c r="B10" s="99"/>
      <c r="C10" s="100"/>
      <c r="D10" s="100"/>
      <c r="E10" s="100"/>
      <c r="F10" s="99" t="s">
        <v>47</v>
      </c>
      <c r="G10" s="100"/>
      <c r="H10" s="101"/>
      <c r="K10" s="7">
        <v>6</v>
      </c>
      <c r="L10" s="7">
        <v>38.5</v>
      </c>
      <c r="M10" s="84">
        <f t="shared" si="0"/>
        <v>1.2833333333333334</v>
      </c>
      <c r="N10" s="7">
        <v>36.5</v>
      </c>
      <c r="O10" s="84">
        <f t="shared" si="1"/>
        <v>1.2166666666666666</v>
      </c>
    </row>
    <row r="11" spans="2:15" s="6" customFormat="1" ht="15" customHeight="1">
      <c r="B11" s="65" t="s">
        <v>6</v>
      </c>
      <c r="C11" s="65" t="s">
        <v>7</v>
      </c>
      <c r="D11" s="50">
        <v>180</v>
      </c>
      <c r="E11" s="50" t="s">
        <v>2</v>
      </c>
      <c r="F11" s="96"/>
      <c r="G11" s="97"/>
      <c r="H11" s="98"/>
      <c r="K11" s="7">
        <v>9</v>
      </c>
      <c r="L11" s="7">
        <v>46</v>
      </c>
      <c r="M11" s="84">
        <f t="shared" si="0"/>
        <v>1.5333333333333334</v>
      </c>
      <c r="N11" s="7">
        <v>40.5</v>
      </c>
      <c r="O11" s="84">
        <f t="shared" si="1"/>
        <v>1.35</v>
      </c>
    </row>
    <row r="12" spans="2:15" s="6" customFormat="1" ht="15" customHeight="1">
      <c r="B12" s="65" t="s">
        <v>8</v>
      </c>
      <c r="C12" s="65" t="s">
        <v>9</v>
      </c>
      <c r="D12" s="48">
        <v>85</v>
      </c>
      <c r="E12" s="50" t="s">
        <v>2</v>
      </c>
      <c r="F12" s="96" t="s">
        <v>192</v>
      </c>
      <c r="G12" s="97"/>
      <c r="H12" s="98"/>
      <c r="K12" s="7">
        <v>12</v>
      </c>
      <c r="L12" s="7">
        <v>55</v>
      </c>
      <c r="M12" s="84">
        <f t="shared" si="0"/>
        <v>1.8333333333333333</v>
      </c>
      <c r="N12" s="7">
        <v>47</v>
      </c>
      <c r="O12" s="84">
        <f t="shared" si="1"/>
        <v>1.5666666666666667</v>
      </c>
    </row>
    <row r="13" spans="2:15" s="6" customFormat="1" ht="15" customHeight="1">
      <c r="B13" s="65" t="s">
        <v>24</v>
      </c>
      <c r="C13" s="65" t="s">
        <v>25</v>
      </c>
      <c r="D13" s="48">
        <v>32</v>
      </c>
      <c r="E13" s="50" t="s">
        <v>2</v>
      </c>
      <c r="F13" s="96"/>
      <c r="G13" s="97"/>
      <c r="H13" s="98"/>
      <c r="K13" s="7">
        <v>15</v>
      </c>
      <c r="L13" s="7">
        <v>66.5</v>
      </c>
      <c r="M13" s="84">
        <f t="shared" si="0"/>
        <v>2.216666666666667</v>
      </c>
      <c r="N13" s="7">
        <v>56</v>
      </c>
      <c r="O13" s="84">
        <f t="shared" si="1"/>
        <v>1.8666666666666667</v>
      </c>
    </row>
    <row r="14" spans="2:15" s="6" customFormat="1" ht="15" customHeight="1">
      <c r="B14" s="65" t="s">
        <v>26</v>
      </c>
      <c r="C14" s="65" t="s">
        <v>27</v>
      </c>
      <c r="D14" s="48">
        <v>170</v>
      </c>
      <c r="E14" s="50" t="s">
        <v>2</v>
      </c>
      <c r="F14" s="96"/>
      <c r="G14" s="97"/>
      <c r="H14" s="98"/>
      <c r="K14" s="7">
        <v>17.5</v>
      </c>
      <c r="L14" s="7">
        <v>75</v>
      </c>
      <c r="M14" s="84">
        <f t="shared" si="0"/>
        <v>2.5</v>
      </c>
      <c r="N14" s="7">
        <v>65</v>
      </c>
      <c r="O14" s="84">
        <f t="shared" si="1"/>
        <v>2.1666666666666665</v>
      </c>
    </row>
    <row r="15" spans="2:15" s="6" customFormat="1" ht="15" customHeight="1">
      <c r="B15" s="65"/>
      <c r="C15" s="65"/>
      <c r="D15" s="48"/>
      <c r="E15" s="50"/>
      <c r="F15" s="96"/>
      <c r="G15" s="97"/>
      <c r="H15" s="98"/>
      <c r="K15" s="7">
        <v>20</v>
      </c>
      <c r="L15" s="7">
        <v>83.5</v>
      </c>
      <c r="M15" s="84">
        <f t="shared" si="0"/>
        <v>2.783333333333333</v>
      </c>
      <c r="N15" s="7">
        <v>76</v>
      </c>
      <c r="O15" s="84">
        <f t="shared" si="1"/>
        <v>2.533333333333333</v>
      </c>
    </row>
    <row r="16" spans="2:15" s="6" customFormat="1" ht="15" customHeight="1">
      <c r="B16" s="65"/>
      <c r="C16" s="65"/>
      <c r="D16" s="48"/>
      <c r="E16" s="50"/>
      <c r="F16" s="96"/>
      <c r="G16" s="97"/>
      <c r="H16" s="98"/>
      <c r="K16" s="7">
        <v>22.5</v>
      </c>
      <c r="L16" s="7">
        <v>91</v>
      </c>
      <c r="M16" s="84">
        <f t="shared" si="0"/>
        <v>3.033333333333333</v>
      </c>
      <c r="N16" s="7">
        <v>86.5</v>
      </c>
      <c r="O16" s="84">
        <f t="shared" si="1"/>
        <v>2.8833333333333333</v>
      </c>
    </row>
    <row r="17" spans="2:15" s="6" customFormat="1" ht="15" customHeight="1">
      <c r="B17" s="65"/>
      <c r="C17" s="65"/>
      <c r="D17" s="48"/>
      <c r="E17" s="48"/>
      <c r="F17" s="96"/>
      <c r="G17" s="97"/>
      <c r="H17" s="98"/>
      <c r="K17" s="7">
        <v>25</v>
      </c>
      <c r="L17" s="7">
        <v>97.5</v>
      </c>
      <c r="M17" s="84">
        <f t="shared" si="0"/>
        <v>3.25</v>
      </c>
      <c r="N17" s="7">
        <v>98</v>
      </c>
      <c r="O17" s="84">
        <f t="shared" si="1"/>
        <v>3.2666666666666666</v>
      </c>
    </row>
    <row r="18" spans="2:15" s="6" customFormat="1" ht="15" customHeight="1">
      <c r="B18" s="65"/>
      <c r="C18" s="65"/>
      <c r="D18" s="48"/>
      <c r="E18" s="48"/>
      <c r="F18" s="96"/>
      <c r="G18" s="97"/>
      <c r="H18" s="98"/>
      <c r="K18" s="7">
        <v>27</v>
      </c>
      <c r="L18" s="7">
        <v>104</v>
      </c>
      <c r="M18" s="84">
        <f t="shared" si="0"/>
        <v>3.466666666666667</v>
      </c>
      <c r="N18" s="7">
        <v>108</v>
      </c>
      <c r="O18" s="84">
        <f t="shared" si="1"/>
        <v>3.6</v>
      </c>
    </row>
    <row r="19" spans="2:15" s="6" customFormat="1" ht="15" customHeight="1">
      <c r="B19" s="65" t="s">
        <v>173</v>
      </c>
      <c r="C19" s="65" t="s">
        <v>33</v>
      </c>
      <c r="D19" s="48">
        <v>230</v>
      </c>
      <c r="E19" s="48" t="s">
        <v>4</v>
      </c>
      <c r="F19" s="96" t="s">
        <v>190</v>
      </c>
      <c r="G19" s="97"/>
      <c r="H19" s="98"/>
      <c r="K19" s="7">
        <v>28</v>
      </c>
      <c r="L19" s="7">
        <v>106</v>
      </c>
      <c r="M19" s="84">
        <f t="shared" si="0"/>
        <v>3.533333333333333</v>
      </c>
      <c r="N19" s="7">
        <v>115</v>
      </c>
      <c r="O19" s="84">
        <f t="shared" si="1"/>
        <v>3.8333333333333335</v>
      </c>
    </row>
    <row r="20" spans="2:8" s="6" customFormat="1" ht="15" customHeight="1">
      <c r="B20" s="65" t="s">
        <v>34</v>
      </c>
      <c r="C20" s="65" t="s">
        <v>35</v>
      </c>
      <c r="D20" s="48">
        <v>960</v>
      </c>
      <c r="E20" s="48" t="s">
        <v>4</v>
      </c>
      <c r="F20" s="96" t="s">
        <v>191</v>
      </c>
      <c r="G20" s="97"/>
      <c r="H20" s="98"/>
    </row>
    <row r="21" spans="2:8" s="6" customFormat="1" ht="15" customHeight="1">
      <c r="B21" s="65"/>
      <c r="C21" s="65"/>
      <c r="D21" s="48"/>
      <c r="E21" s="48"/>
      <c r="F21" s="96"/>
      <c r="G21" s="97"/>
      <c r="H21" s="98"/>
    </row>
    <row r="22" spans="2:8" s="6" customFormat="1" ht="15" customHeight="1">
      <c r="B22" s="65"/>
      <c r="C22" s="65"/>
      <c r="D22" s="48"/>
      <c r="E22" s="48"/>
      <c r="F22" s="96"/>
      <c r="G22" s="97"/>
      <c r="H22" s="98"/>
    </row>
    <row r="23" spans="2:8" s="6" customFormat="1" ht="15" customHeight="1">
      <c r="B23" s="65"/>
      <c r="C23" s="65"/>
      <c r="D23" s="48"/>
      <c r="E23" s="48"/>
      <c r="F23" s="96"/>
      <c r="G23" s="97"/>
      <c r="H23" s="98"/>
    </row>
    <row r="24" spans="2:8" s="6" customFormat="1" ht="15" customHeight="1">
      <c r="B24" s="65"/>
      <c r="C24" s="65"/>
      <c r="D24" s="48"/>
      <c r="E24" s="48"/>
      <c r="F24" s="96"/>
      <c r="G24" s="97"/>
      <c r="H24" s="98"/>
    </row>
    <row r="25" spans="2:9" s="6" customFormat="1" ht="15" customHeight="1">
      <c r="B25" s="65"/>
      <c r="C25" s="65"/>
      <c r="D25" s="48"/>
      <c r="E25" s="48"/>
      <c r="F25" s="96"/>
      <c r="G25" s="97"/>
      <c r="H25" s="98"/>
      <c r="I25" s="22"/>
    </row>
    <row r="26" spans="2:10" s="6" customFormat="1" ht="15" customHeight="1">
      <c r="B26" s="65" t="s">
        <v>21</v>
      </c>
      <c r="C26" s="65" t="s">
        <v>22</v>
      </c>
      <c r="D26" s="48">
        <v>1200</v>
      </c>
      <c r="E26" s="48" t="s">
        <v>4</v>
      </c>
      <c r="F26" s="96" t="s">
        <v>62</v>
      </c>
      <c r="G26" s="97"/>
      <c r="H26" s="98"/>
      <c r="J26" s="33"/>
    </row>
    <row r="27" spans="2:9" s="6" customFormat="1" ht="15" customHeight="1">
      <c r="B27" s="65"/>
      <c r="C27" s="65"/>
      <c r="D27" s="48"/>
      <c r="E27" s="48"/>
      <c r="F27" s="96"/>
      <c r="G27" s="97"/>
      <c r="H27" s="98"/>
      <c r="I27" s="22"/>
    </row>
    <row r="28" spans="2:8" ht="12.75">
      <c r="B28" s="87"/>
      <c r="C28" s="88"/>
      <c r="D28" s="88"/>
      <c r="E28" s="88"/>
      <c r="F28" s="87" t="s">
        <v>47</v>
      </c>
      <c r="G28" s="88"/>
      <c r="H28" s="89"/>
    </row>
    <row r="29" spans="2:8" ht="12.75">
      <c r="B29" s="87"/>
      <c r="C29" s="88"/>
      <c r="D29" s="88"/>
      <c r="E29" s="88"/>
      <c r="F29" s="87"/>
      <c r="G29" s="88"/>
      <c r="H29" s="89"/>
    </row>
    <row r="30" spans="2:8" ht="12.75">
      <c r="B30" s="65" t="s">
        <v>8</v>
      </c>
      <c r="C30" s="65" t="s">
        <v>9</v>
      </c>
      <c r="D30" s="48">
        <f>D12</f>
        <v>85</v>
      </c>
      <c r="E30" s="50" t="s">
        <v>2</v>
      </c>
      <c r="F30" s="96"/>
      <c r="G30" s="97"/>
      <c r="H30" s="98"/>
    </row>
    <row r="31" spans="2:8" ht="12.75">
      <c r="B31" s="65" t="s">
        <v>24</v>
      </c>
      <c r="C31" s="65" t="s">
        <v>25</v>
      </c>
      <c r="D31" s="48">
        <v>32</v>
      </c>
      <c r="E31" s="50" t="s">
        <v>2</v>
      </c>
      <c r="F31" s="96"/>
      <c r="G31" s="97"/>
      <c r="H31" s="98"/>
    </row>
    <row r="32" spans="2:8" ht="12.75">
      <c r="B32" s="65" t="s">
        <v>26</v>
      </c>
      <c r="C32" s="65" t="s">
        <v>27</v>
      </c>
      <c r="D32" s="48">
        <v>170</v>
      </c>
      <c r="E32" s="50" t="s">
        <v>2</v>
      </c>
      <c r="F32" s="96"/>
      <c r="G32" s="97"/>
      <c r="H32" s="98"/>
    </row>
    <row r="33" spans="2:8" ht="12.75">
      <c r="B33" s="65" t="s">
        <v>28</v>
      </c>
      <c r="C33" s="65" t="s">
        <v>95</v>
      </c>
      <c r="D33" s="48">
        <v>7</v>
      </c>
      <c r="E33" s="50" t="s">
        <v>2</v>
      </c>
      <c r="F33" s="96"/>
      <c r="G33" s="97"/>
      <c r="H33" s="98"/>
    </row>
    <row r="34" spans="2:8" ht="12.75">
      <c r="B34" s="65" t="s">
        <v>159</v>
      </c>
      <c r="C34" s="65" t="s">
        <v>160</v>
      </c>
      <c r="D34" s="48">
        <v>9.6</v>
      </c>
      <c r="E34" s="48" t="s">
        <v>3</v>
      </c>
      <c r="F34" s="67">
        <f>IF(D34=6,G53,G54)</f>
        <v>0.00022</v>
      </c>
      <c r="G34" s="61"/>
      <c r="H34" s="62"/>
    </row>
    <row r="35" spans="2:9" ht="12.75">
      <c r="B35" s="8" t="s">
        <v>34</v>
      </c>
      <c r="C35" s="8" t="s">
        <v>136</v>
      </c>
      <c r="D35" s="38">
        <v>960</v>
      </c>
      <c r="E35" s="48" t="s">
        <v>4</v>
      </c>
      <c r="F35" s="93"/>
      <c r="G35" s="94"/>
      <c r="H35" s="95"/>
      <c r="I35" s="46">
        <f>D35+D36+D37</f>
        <v>1716</v>
      </c>
    </row>
    <row r="36" spans="2:8" ht="12.75">
      <c r="B36" s="8" t="s">
        <v>178</v>
      </c>
      <c r="C36" s="8" t="s">
        <v>130</v>
      </c>
      <c r="D36" s="48">
        <f>D19*3</f>
        <v>690</v>
      </c>
      <c r="E36" s="48" t="s">
        <v>4</v>
      </c>
      <c r="F36" s="93"/>
      <c r="G36" s="94"/>
      <c r="H36" s="95"/>
    </row>
    <row r="37" spans="2:8" ht="12.75">
      <c r="B37" s="8" t="s">
        <v>172</v>
      </c>
      <c r="C37" s="8" t="s">
        <v>182</v>
      </c>
      <c r="D37" s="48">
        <f>22*3</f>
        <v>66</v>
      </c>
      <c r="E37" s="48" t="s">
        <v>4</v>
      </c>
      <c r="F37" s="93"/>
      <c r="G37" s="94"/>
      <c r="H37" s="95"/>
    </row>
    <row r="38" spans="2:8" ht="12.75">
      <c r="B38" s="65" t="s">
        <v>99</v>
      </c>
      <c r="C38" s="65" t="s">
        <v>100</v>
      </c>
      <c r="D38" s="52">
        <v>20</v>
      </c>
      <c r="E38" s="48" t="s">
        <v>3</v>
      </c>
      <c r="F38" s="96"/>
      <c r="G38" s="97"/>
      <c r="H38" s="98"/>
    </row>
    <row r="39" spans="2:8" ht="12.75">
      <c r="B39" s="87"/>
      <c r="C39" s="88"/>
      <c r="D39" s="88"/>
      <c r="E39" s="89"/>
      <c r="F39" s="87" t="s">
        <v>47</v>
      </c>
      <c r="G39" s="88"/>
      <c r="H39" s="89"/>
    </row>
    <row r="40" spans="2:8" ht="12.75">
      <c r="B40" s="8" t="s">
        <v>0</v>
      </c>
      <c r="C40" s="8" t="s">
        <v>98</v>
      </c>
      <c r="D40" s="17">
        <v>180</v>
      </c>
      <c r="E40" s="7" t="s">
        <v>1</v>
      </c>
      <c r="F40" s="93"/>
      <c r="G40" s="94"/>
      <c r="H40" s="95"/>
    </row>
    <row r="41" spans="2:8" ht="12.75">
      <c r="B41" s="8" t="s">
        <v>147</v>
      </c>
      <c r="C41" s="8" t="s">
        <v>94</v>
      </c>
      <c r="D41" s="17">
        <f>IF(D38=20,D40*(D30/2)/100*9.81*1.16,D40*(D30/2)/100*9.81*1.1)</f>
        <v>870.5394</v>
      </c>
      <c r="E41" s="7" t="s">
        <v>108</v>
      </c>
      <c r="F41" s="103"/>
      <c r="G41" s="94"/>
      <c r="H41" s="95"/>
    </row>
    <row r="42" spans="2:9" ht="12.75">
      <c r="B42" s="8" t="s">
        <v>116</v>
      </c>
      <c r="C42" s="8" t="s">
        <v>118</v>
      </c>
      <c r="D42" s="17">
        <f>0.5*((D36*(D45/2)^2)/1000)+0.5*(D37/1000)*D45^2</f>
        <v>173.2362510638298</v>
      </c>
      <c r="E42" s="7" t="s">
        <v>108</v>
      </c>
      <c r="F42" s="38" t="s">
        <v>131</v>
      </c>
      <c r="G42" s="31">
        <f>D42/D41</f>
        <v>0.19899874843554444</v>
      </c>
      <c r="H42" s="30" t="s">
        <v>132</v>
      </c>
      <c r="I42" s="28"/>
    </row>
    <row r="43" spans="2:8" ht="12.75">
      <c r="B43" s="8" t="s">
        <v>120</v>
      </c>
      <c r="C43" s="8" t="s">
        <v>121</v>
      </c>
      <c r="D43" s="17">
        <f>D41-D42</f>
        <v>697.3031489361701</v>
      </c>
      <c r="E43" s="7" t="s">
        <v>108</v>
      </c>
      <c r="F43" s="18"/>
      <c r="G43" s="4"/>
      <c r="H43" s="5"/>
    </row>
    <row r="44" spans="2:8" ht="12.75">
      <c r="B44" s="8" t="s">
        <v>96</v>
      </c>
      <c r="C44" s="8" t="s">
        <v>97</v>
      </c>
      <c r="D44" s="27">
        <f>1-(D42/D41)</f>
        <v>0.8010012515644556</v>
      </c>
      <c r="E44" s="7"/>
      <c r="F44" s="93"/>
      <c r="G44" s="94"/>
      <c r="H44" s="95"/>
    </row>
    <row r="45" spans="2:8" ht="12.75">
      <c r="B45" s="8" t="s">
        <v>89</v>
      </c>
      <c r="C45" s="8" t="s">
        <v>90</v>
      </c>
      <c r="D45" s="55">
        <f>(D41/((D35/2)+(D36/8)+(D37/2))*1000)^0.5</f>
        <v>38.11449715812897</v>
      </c>
      <c r="E45" s="7" t="s">
        <v>91</v>
      </c>
      <c r="F45" s="93"/>
      <c r="G45" s="94"/>
      <c r="H45" s="95"/>
    </row>
    <row r="46" spans="2:8" ht="12.75">
      <c r="B46" s="8" t="s">
        <v>123</v>
      </c>
      <c r="C46" s="8" t="s">
        <v>125</v>
      </c>
      <c r="D46" s="17">
        <f>(D43/D30*10)*D45*9.81/1000</f>
        <v>30.6733989054128</v>
      </c>
      <c r="E46" s="7" t="s">
        <v>124</v>
      </c>
      <c r="F46" s="18"/>
      <c r="G46" s="4"/>
      <c r="H46" s="5"/>
    </row>
    <row r="47" spans="2:8" ht="12.75">
      <c r="B47" s="87"/>
      <c r="C47" s="88"/>
      <c r="D47" s="88"/>
      <c r="E47" s="88"/>
      <c r="F47" s="87" t="s">
        <v>47</v>
      </c>
      <c r="G47" s="88"/>
      <c r="H47" s="89"/>
    </row>
    <row r="48" spans="2:8" ht="12.75">
      <c r="B48" s="8"/>
      <c r="C48" s="47" t="s">
        <v>153</v>
      </c>
      <c r="D48" s="51">
        <v>5</v>
      </c>
      <c r="E48" s="7" t="s">
        <v>154</v>
      </c>
      <c r="F48" s="90"/>
      <c r="G48" s="91"/>
      <c r="H48" s="92"/>
    </row>
    <row r="49" spans="2:8" ht="12.75">
      <c r="B49" s="8" t="s">
        <v>155</v>
      </c>
      <c r="C49" s="8" t="s">
        <v>156</v>
      </c>
      <c r="D49" s="17">
        <f>(D50*2/(D35/1000))^0.5</f>
        <v>27.03257910086609</v>
      </c>
      <c r="E49" s="7" t="s">
        <v>91</v>
      </c>
      <c r="F49" s="90"/>
      <c r="G49" s="91"/>
      <c r="H49" s="92"/>
    </row>
    <row r="50" spans="2:8" ht="12.75">
      <c r="B50" s="8"/>
      <c r="C50" s="8" t="s">
        <v>148</v>
      </c>
      <c r="D50" s="17">
        <f>D41*2.718^-(2*G56*D48/F34)</f>
        <v>350.7649597653994</v>
      </c>
      <c r="E50" s="7" t="s">
        <v>108</v>
      </c>
      <c r="F50" s="38" t="s">
        <v>157</v>
      </c>
      <c r="G50" s="54">
        <f>D50/D43</f>
        <v>0.5030307984418808</v>
      </c>
      <c r="H50" s="30" t="s">
        <v>158</v>
      </c>
    </row>
    <row r="51" spans="2:8" ht="12.75">
      <c r="B51" s="8"/>
      <c r="C51" s="8" t="s">
        <v>151</v>
      </c>
      <c r="D51" s="17">
        <f>(D35*D45^2)/(0.0494*40000*D34^2)</f>
        <v>7.658120854509433</v>
      </c>
      <c r="E51" s="7" t="s">
        <v>154</v>
      </c>
      <c r="F51" s="15"/>
      <c r="G51" s="4"/>
      <c r="H51" s="5"/>
    </row>
    <row r="52" spans="2:8" ht="12.75">
      <c r="B52" s="8" t="s">
        <v>161</v>
      </c>
      <c r="C52" s="8" t="s">
        <v>162</v>
      </c>
      <c r="D52" s="17">
        <f>D35*D45/(D26+D36+D37)</f>
        <v>18.706501672701336</v>
      </c>
      <c r="E52" s="7" t="s">
        <v>91</v>
      </c>
      <c r="F52" s="90"/>
      <c r="G52" s="91"/>
      <c r="H52" s="92"/>
    </row>
    <row r="53" spans="2:8" ht="12.75">
      <c r="B53" s="8" t="s">
        <v>165</v>
      </c>
      <c r="C53" s="8" t="s">
        <v>166</v>
      </c>
      <c r="D53" s="17">
        <f>0.001*D35^1.8*(D49^1.3)/(D34*100)</f>
        <v>17.67139007972114</v>
      </c>
      <c r="E53" s="7" t="s">
        <v>2</v>
      </c>
      <c r="F53" s="74" t="s">
        <v>146</v>
      </c>
      <c r="G53" s="75">
        <v>0.0002</v>
      </c>
      <c r="H53" s="76" t="s">
        <v>150</v>
      </c>
    </row>
    <row r="54" spans="2:8" ht="12.75">
      <c r="B54" s="8" t="s">
        <v>167</v>
      </c>
      <c r="C54" s="8" t="s">
        <v>168</v>
      </c>
      <c r="D54" s="17">
        <f>0.07*D35^1.3/D34*((D49-10)/25)</f>
        <v>37.421381438994416</v>
      </c>
      <c r="E54" s="7" t="s">
        <v>2</v>
      </c>
      <c r="F54" s="42" t="s">
        <v>146</v>
      </c>
      <c r="G54" s="43">
        <v>0.00022</v>
      </c>
      <c r="H54" s="44" t="s">
        <v>149</v>
      </c>
    </row>
    <row r="55" spans="6:8" ht="12.75">
      <c r="F55" s="37"/>
      <c r="G55" s="40"/>
      <c r="H55" s="41"/>
    </row>
    <row r="56" spans="6:8" ht="12.75">
      <c r="F56" s="42" t="s">
        <v>145</v>
      </c>
      <c r="G56" s="43">
        <v>2E-05</v>
      </c>
      <c r="H56" s="44"/>
    </row>
  </sheetData>
  <mergeCells count="48">
    <mergeCell ref="L6:O6"/>
    <mergeCell ref="L7:M7"/>
    <mergeCell ref="N7:O7"/>
    <mergeCell ref="K4:O4"/>
    <mergeCell ref="F24:H24"/>
    <mergeCell ref="F26:H26"/>
    <mergeCell ref="F41:H41"/>
    <mergeCell ref="F37:H37"/>
    <mergeCell ref="F27:H27"/>
    <mergeCell ref="F25:H25"/>
    <mergeCell ref="B10:E10"/>
    <mergeCell ref="F10:H10"/>
    <mergeCell ref="F19:H19"/>
    <mergeCell ref="F15:H15"/>
    <mergeCell ref="F17:H17"/>
    <mergeCell ref="F21:H21"/>
    <mergeCell ref="F22:H22"/>
    <mergeCell ref="F23:H23"/>
    <mergeCell ref="F20:H20"/>
    <mergeCell ref="B29:E29"/>
    <mergeCell ref="F29:H29"/>
    <mergeCell ref="F39:H39"/>
    <mergeCell ref="F38:H38"/>
    <mergeCell ref="F30:H30"/>
    <mergeCell ref="F31:H31"/>
    <mergeCell ref="F32:H32"/>
    <mergeCell ref="F33:H33"/>
    <mergeCell ref="F35:H35"/>
    <mergeCell ref="C7:E7"/>
    <mergeCell ref="B28:E28"/>
    <mergeCell ref="F28:H28"/>
    <mergeCell ref="F11:H11"/>
    <mergeCell ref="F16:H16"/>
    <mergeCell ref="F12:H12"/>
    <mergeCell ref="F13:H13"/>
    <mergeCell ref="F14:H14"/>
    <mergeCell ref="F18:H18"/>
    <mergeCell ref="B9:H9"/>
    <mergeCell ref="F52:H52"/>
    <mergeCell ref="F36:H36"/>
    <mergeCell ref="B47:E47"/>
    <mergeCell ref="F47:H47"/>
    <mergeCell ref="F48:H48"/>
    <mergeCell ref="F49:H49"/>
    <mergeCell ref="B39:E39"/>
    <mergeCell ref="F40:H40"/>
    <mergeCell ref="F45:H45"/>
    <mergeCell ref="F44:H44"/>
  </mergeCells>
  <printOptions/>
  <pageMargins left="0.49" right="0.75" top="0.56" bottom="1" header="0.5" footer="0.5"/>
  <pageSetup fitToHeight="1" fitToWidth="1" horizontalDpi="300" verticalDpi="300" orientation="portrait" paperSize="9" scale="91" r:id="rId2"/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BALISTICA COMPARATA DEI FUCILI SUBACQUEI</dc:title>
  <dc:subject/>
  <dc:creator>ing. Anglani</dc:creator>
  <cp:keywords/>
  <dc:description/>
  <cp:lastModifiedBy>Riccardo</cp:lastModifiedBy>
  <cp:lastPrinted>2001-04-24T22:31:34Z</cp:lastPrinted>
  <dcterms:created xsi:type="dcterms:W3CDTF">2000-10-05T15:23:39Z</dcterms:created>
  <dcterms:modified xsi:type="dcterms:W3CDTF">2001-05-29T09:55:43Z</dcterms:modified>
  <cp:category/>
  <cp:version/>
  <cp:contentType/>
  <cp:contentStatus/>
</cp:coreProperties>
</file>